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falova\Desktop\PROJEKTY\Projekty STANO\Nemocnica Poprad\FINAL SUBORY\PO UHP 2\Štúdia realizovateľnosti aktualizácia pred VO\"/>
    </mc:Choice>
  </mc:AlternateContent>
  <bookViews>
    <workbookView xWindow="0" yWindow="0" windowWidth="19200" windowHeight="6540"/>
  </bookViews>
  <sheets>
    <sheet name="Krycí list" sheetId="1" r:id="rId1"/>
    <sheet name="Metodológia" sheetId="3" r:id="rId2"/>
    <sheet name="Status quo+Base Case" sheetId="4" r:id="rId3"/>
    <sheet name="Rekonštrukcia" sheetId="5" r:id="rId4"/>
    <sheet name="Lôžkový fond 1" sheetId="6" r:id="rId5"/>
    <sheet name="Lôžkový fond 2" sheetId="9" r:id="rId6"/>
    <sheet name="Koniec" sheetId="10" r:id="rId7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9" l="1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C33" i="6" l="1"/>
  <c r="Q31" i="9" l="1"/>
  <c r="O31" i="9"/>
  <c r="O20" i="5"/>
  <c r="P20" i="5" s="1"/>
  <c r="Q20" i="5" s="1"/>
  <c r="R20" i="5" s="1"/>
  <c r="S20" i="5" s="1"/>
  <c r="T20" i="5" s="1"/>
  <c r="U20" i="5" s="1"/>
  <c r="V20" i="5" s="1"/>
  <c r="W20" i="5" s="1"/>
  <c r="X20" i="5" s="1"/>
  <c r="Y20" i="5" s="1"/>
  <c r="Z20" i="5" s="1"/>
  <c r="AA20" i="5" s="1"/>
  <c r="AB20" i="5" s="1"/>
  <c r="AC20" i="5" s="1"/>
  <c r="AD20" i="5" s="1"/>
  <c r="AE20" i="5" s="1"/>
  <c r="AF20" i="5" s="1"/>
  <c r="AG20" i="5" s="1"/>
  <c r="AH20" i="5" s="1"/>
  <c r="AI20" i="5" s="1"/>
  <c r="AJ20" i="5" s="1"/>
  <c r="AK20" i="5" s="1"/>
  <c r="N20" i="5"/>
  <c r="N26" i="5"/>
  <c r="O26" i="5" s="1"/>
  <c r="P26" i="5" s="1"/>
  <c r="Q26" i="5" s="1"/>
  <c r="R26" i="5" s="1"/>
  <c r="S26" i="5" s="1"/>
  <c r="T26" i="5" s="1"/>
  <c r="U26" i="5" s="1"/>
  <c r="N22" i="5"/>
  <c r="O22" i="5" s="1"/>
  <c r="P22" i="5" s="1"/>
  <c r="Q22" i="5" s="1"/>
  <c r="R22" i="5" s="1"/>
  <c r="S22" i="5" s="1"/>
  <c r="T22" i="5" s="1"/>
  <c r="U22" i="5" s="1"/>
  <c r="V22" i="5" s="1"/>
  <c r="W22" i="5" s="1"/>
  <c r="X22" i="5" s="1"/>
  <c r="Y22" i="5" s="1"/>
  <c r="Z22" i="5" s="1"/>
  <c r="AA22" i="5" s="1"/>
  <c r="AB22" i="5" s="1"/>
  <c r="AC22" i="5" s="1"/>
  <c r="AD22" i="5" s="1"/>
  <c r="AE22" i="5" s="1"/>
  <c r="AF22" i="5" s="1"/>
  <c r="AG22" i="5" s="1"/>
  <c r="AH22" i="5" s="1"/>
  <c r="AI22" i="5" s="1"/>
  <c r="AJ22" i="5" s="1"/>
  <c r="AK22" i="5" s="1"/>
  <c r="O30" i="5"/>
  <c r="P30" i="5" s="1"/>
  <c r="Q30" i="5" s="1"/>
  <c r="R30" i="5" s="1"/>
  <c r="S30" i="5" s="1"/>
  <c r="T30" i="5" s="1"/>
  <c r="U30" i="5" s="1"/>
  <c r="V30" i="5" s="1"/>
  <c r="W30" i="5" s="1"/>
  <c r="X30" i="5" s="1"/>
  <c r="Y30" i="5" s="1"/>
  <c r="Z30" i="5" s="1"/>
  <c r="AA30" i="5" s="1"/>
  <c r="AB30" i="5" s="1"/>
  <c r="AC30" i="5" s="1"/>
  <c r="AD30" i="5" s="1"/>
  <c r="AE30" i="5" s="1"/>
  <c r="AF30" i="5" s="1"/>
  <c r="AG30" i="5" s="1"/>
  <c r="AH30" i="5" s="1"/>
  <c r="AI30" i="5" s="1"/>
  <c r="AJ30" i="5" s="1"/>
  <c r="AK30" i="5" s="1"/>
  <c r="Q33" i="5"/>
  <c r="P33" i="5"/>
  <c r="R33" i="5" s="1"/>
  <c r="S33" i="5" s="1"/>
  <c r="T33" i="5" s="1"/>
  <c r="U33" i="5" s="1"/>
  <c r="V33" i="5" s="1"/>
  <c r="W33" i="5" s="1"/>
  <c r="X33" i="5" s="1"/>
  <c r="Y33" i="5" s="1"/>
  <c r="Z33" i="5" s="1"/>
  <c r="AA33" i="5" s="1"/>
  <c r="AB33" i="5" s="1"/>
  <c r="AC33" i="5" s="1"/>
  <c r="AD33" i="5" s="1"/>
  <c r="AE33" i="5" s="1"/>
  <c r="AF33" i="5" s="1"/>
  <c r="AG33" i="5" s="1"/>
  <c r="AH33" i="5" s="1"/>
  <c r="AI33" i="5" s="1"/>
  <c r="AJ33" i="5" s="1"/>
  <c r="AK33" i="5" s="1"/>
  <c r="N17" i="5"/>
  <c r="N14" i="5"/>
  <c r="M14" i="5"/>
  <c r="J28" i="5"/>
  <c r="K28" i="5" s="1"/>
  <c r="P34" i="5"/>
  <c r="S18" i="5"/>
  <c r="T18" i="5" s="1"/>
  <c r="U18" i="5" s="1"/>
  <c r="V18" i="5" s="1"/>
  <c r="W18" i="5" s="1"/>
  <c r="X18" i="5" s="1"/>
  <c r="Y18" i="5" s="1"/>
  <c r="Z18" i="5" s="1"/>
  <c r="AA18" i="5" s="1"/>
  <c r="AB18" i="5" s="1"/>
  <c r="AC18" i="5" s="1"/>
  <c r="AD18" i="5" s="1"/>
  <c r="AE18" i="5" s="1"/>
  <c r="AF18" i="5" s="1"/>
  <c r="AG18" i="5" s="1"/>
  <c r="AH18" i="5" s="1"/>
  <c r="AI18" i="5" s="1"/>
  <c r="AJ18" i="5" s="1"/>
  <c r="AK18" i="5" s="1"/>
  <c r="R18" i="5"/>
  <c r="Q18" i="5"/>
  <c r="P18" i="5"/>
  <c r="O18" i="5"/>
  <c r="N18" i="5"/>
  <c r="N25" i="5"/>
  <c r="O25" i="5" s="1"/>
  <c r="P25" i="5" s="1"/>
  <c r="Q25" i="5" s="1"/>
  <c r="R25" i="5" s="1"/>
  <c r="S25" i="5" s="1"/>
  <c r="T25" i="5" s="1"/>
  <c r="U25" i="5" s="1"/>
  <c r="V25" i="5" s="1"/>
  <c r="W25" i="5" s="1"/>
  <c r="X25" i="5" s="1"/>
  <c r="Y25" i="5" s="1"/>
  <c r="Z25" i="5" s="1"/>
  <c r="AA25" i="5" s="1"/>
  <c r="AB25" i="5" s="1"/>
  <c r="AC25" i="5" s="1"/>
  <c r="AD25" i="5" s="1"/>
  <c r="AE25" i="5" s="1"/>
  <c r="AF25" i="5" s="1"/>
  <c r="AG25" i="5" s="1"/>
  <c r="AH25" i="5" s="1"/>
  <c r="AI25" i="5" s="1"/>
  <c r="AJ25" i="5" s="1"/>
  <c r="N29" i="5"/>
  <c r="O29" i="5" s="1"/>
  <c r="N31" i="5"/>
  <c r="O31" i="5" s="1"/>
  <c r="P31" i="5" s="1"/>
  <c r="Q31" i="5" s="1"/>
  <c r="R31" i="5" s="1"/>
  <c r="S31" i="5" s="1"/>
  <c r="T31" i="5" s="1"/>
  <c r="U31" i="5" s="1"/>
  <c r="V31" i="5" s="1"/>
  <c r="W31" i="5" s="1"/>
  <c r="X31" i="5" s="1"/>
  <c r="Y31" i="5" s="1"/>
  <c r="Z31" i="5" s="1"/>
  <c r="AA31" i="5" s="1"/>
  <c r="AB31" i="5" s="1"/>
  <c r="AC31" i="5" s="1"/>
  <c r="AD31" i="5" s="1"/>
  <c r="AE31" i="5" s="1"/>
  <c r="AF31" i="5" s="1"/>
  <c r="AG31" i="5" s="1"/>
  <c r="AH31" i="5" s="1"/>
  <c r="AI31" i="5" s="1"/>
  <c r="AJ31" i="5" s="1"/>
  <c r="AK31" i="5" s="1"/>
  <c r="O32" i="5"/>
  <c r="P32" i="5" s="1"/>
  <c r="Q32" i="5" s="1"/>
  <c r="R32" i="5" s="1"/>
  <c r="S32" i="5" s="1"/>
  <c r="T32" i="5" s="1"/>
  <c r="U32" i="5" s="1"/>
  <c r="V32" i="5" s="1"/>
  <c r="W32" i="5" s="1"/>
  <c r="X32" i="5" s="1"/>
  <c r="Y32" i="5" s="1"/>
  <c r="Z32" i="5" s="1"/>
  <c r="AA32" i="5" s="1"/>
  <c r="AB32" i="5" s="1"/>
  <c r="AC32" i="5" s="1"/>
  <c r="AD32" i="5" s="1"/>
  <c r="AE32" i="5" s="1"/>
  <c r="AF32" i="5" s="1"/>
  <c r="AG32" i="5" s="1"/>
  <c r="AH32" i="5" s="1"/>
  <c r="AI32" i="5" s="1"/>
  <c r="AJ32" i="5" s="1"/>
  <c r="AK32" i="5" s="1"/>
  <c r="O33" i="5"/>
  <c r="N19" i="5"/>
  <c r="O34" i="5"/>
  <c r="N23" i="5"/>
  <c r="V26" i="5" l="1"/>
  <c r="W26" i="5" s="1"/>
  <c r="X26" i="5" s="1"/>
  <c r="Y26" i="5" s="1"/>
  <c r="Z26" i="5" s="1"/>
  <c r="AA26" i="5" s="1"/>
  <c r="AB26" i="5" s="1"/>
  <c r="AC26" i="5" s="1"/>
  <c r="AD26" i="5" s="1"/>
  <c r="AE26" i="5" s="1"/>
  <c r="AF26" i="5" s="1"/>
  <c r="AG26" i="5" s="1"/>
  <c r="AH26" i="5" s="1"/>
  <c r="AI26" i="5" s="1"/>
  <c r="AJ26" i="5" s="1"/>
  <c r="AK26" i="5" s="1"/>
  <c r="P29" i="5"/>
  <c r="Q29" i="5" s="1"/>
  <c r="R29" i="5" s="1"/>
  <c r="S29" i="5" s="1"/>
  <c r="T29" i="5" s="1"/>
  <c r="U29" i="5" s="1"/>
  <c r="V29" i="5" s="1"/>
  <c r="W29" i="5" s="1"/>
  <c r="X29" i="5" s="1"/>
  <c r="Y29" i="5" s="1"/>
  <c r="Z29" i="5" s="1"/>
  <c r="AA29" i="5" s="1"/>
  <c r="AB29" i="5" s="1"/>
  <c r="AC29" i="5" s="1"/>
  <c r="AD29" i="5" s="1"/>
  <c r="AE29" i="5" s="1"/>
  <c r="AF29" i="5" s="1"/>
  <c r="AG29" i="5" s="1"/>
  <c r="AH29" i="5" s="1"/>
  <c r="AI29" i="5" s="1"/>
  <c r="AJ29" i="5" s="1"/>
  <c r="AK29" i="5" s="1"/>
  <c r="N34" i="5" l="1"/>
  <c r="Q34" i="5" s="1"/>
  <c r="R34" i="5" s="1"/>
  <c r="S34" i="5" s="1"/>
  <c r="T34" i="5" s="1"/>
  <c r="U34" i="5" s="1"/>
  <c r="V34" i="5" s="1"/>
  <c r="W34" i="5" s="1"/>
  <c r="X34" i="5" s="1"/>
  <c r="Y34" i="5" s="1"/>
  <c r="Z34" i="5" s="1"/>
  <c r="AA34" i="5" s="1"/>
  <c r="AB34" i="5" s="1"/>
  <c r="AC34" i="5" s="1"/>
  <c r="AD34" i="5" s="1"/>
  <c r="AE34" i="5" s="1"/>
  <c r="AF34" i="5" s="1"/>
  <c r="AG34" i="5" s="1"/>
  <c r="AH34" i="5" s="1"/>
  <c r="AI34" i="5" s="1"/>
  <c r="AJ34" i="5" s="1"/>
  <c r="AK34" i="5" s="1"/>
  <c r="L28" i="5"/>
  <c r="M28" i="5" s="1"/>
  <c r="N28" i="5" s="1"/>
  <c r="O28" i="5" s="1"/>
  <c r="P28" i="5" s="1"/>
  <c r="Q28" i="5" s="1"/>
  <c r="R28" i="5" s="1"/>
  <c r="S28" i="5" s="1"/>
  <c r="T28" i="5" s="1"/>
  <c r="U28" i="5" s="1"/>
  <c r="V28" i="5" s="1"/>
  <c r="W28" i="5" s="1"/>
  <c r="X28" i="5" s="1"/>
  <c r="Y28" i="5" s="1"/>
  <c r="Z28" i="5" s="1"/>
  <c r="AA28" i="5" s="1"/>
  <c r="AB28" i="5" s="1"/>
  <c r="AC28" i="5" s="1"/>
  <c r="AD28" i="5" s="1"/>
  <c r="AE28" i="5" s="1"/>
  <c r="AF28" i="5" s="1"/>
  <c r="AG28" i="5" s="1"/>
  <c r="AH28" i="5" s="1"/>
  <c r="AI28" i="5" s="1"/>
  <c r="AJ28" i="5" s="1"/>
  <c r="AK28" i="5" s="1"/>
  <c r="O19" i="5" l="1"/>
  <c r="P19" i="5" s="1"/>
  <c r="Q19" i="5" s="1"/>
  <c r="R19" i="5" s="1"/>
  <c r="S19" i="5" s="1"/>
  <c r="T19" i="5" s="1"/>
  <c r="U19" i="5" s="1"/>
  <c r="V19" i="5" s="1"/>
  <c r="W19" i="5" s="1"/>
  <c r="X19" i="5" s="1"/>
  <c r="Y19" i="5" s="1"/>
  <c r="Z19" i="5" s="1"/>
  <c r="AA19" i="5" s="1"/>
  <c r="AB19" i="5" s="1"/>
  <c r="AC19" i="5" s="1"/>
  <c r="AD19" i="5" s="1"/>
  <c r="AE19" i="5" s="1"/>
  <c r="AF19" i="5" s="1"/>
  <c r="AG19" i="5" s="1"/>
  <c r="AH19" i="5" s="1"/>
  <c r="AK34" i="4"/>
  <c r="AK33" i="4"/>
  <c r="AK32" i="4"/>
  <c r="AK31" i="4"/>
  <c r="AK30" i="4"/>
  <c r="AK29" i="4"/>
  <c r="AK28" i="4"/>
  <c r="AK27" i="4"/>
  <c r="AK26" i="4"/>
  <c r="AK25" i="4"/>
  <c r="AK24" i="4"/>
  <c r="AK23" i="4"/>
  <c r="AK22" i="4"/>
  <c r="AK21" i="4"/>
  <c r="AK20" i="4"/>
  <c r="AK19" i="4"/>
  <c r="AK18" i="4"/>
  <c r="AK17" i="4"/>
  <c r="AK16" i="4"/>
  <c r="AK15" i="4"/>
  <c r="AK14" i="4"/>
  <c r="AI34" i="4"/>
  <c r="AJ34" i="4" s="1"/>
  <c r="AJ33" i="4"/>
  <c r="AI33" i="4"/>
  <c r="AI32" i="4"/>
  <c r="AJ32" i="4" s="1"/>
  <c r="AI31" i="4"/>
  <c r="AJ31" i="4" s="1"/>
  <c r="AI30" i="4"/>
  <c r="AJ30" i="4" s="1"/>
  <c r="AJ29" i="4"/>
  <c r="AI29" i="4"/>
  <c r="AI28" i="4"/>
  <c r="AJ28" i="4" s="1"/>
  <c r="AI27" i="4"/>
  <c r="AJ27" i="4" s="1"/>
  <c r="AI26" i="4"/>
  <c r="AJ26" i="4" s="1"/>
  <c r="AJ25" i="4"/>
  <c r="AI25" i="4"/>
  <c r="AI24" i="4"/>
  <c r="AJ24" i="4" s="1"/>
  <c r="AI23" i="4"/>
  <c r="AJ23" i="4" s="1"/>
  <c r="AI22" i="4"/>
  <c r="AJ22" i="4" s="1"/>
  <c r="AJ21" i="4"/>
  <c r="AI21" i="4"/>
  <c r="AI20" i="4"/>
  <c r="AJ20" i="4" s="1"/>
  <c r="AI19" i="4"/>
  <c r="AJ19" i="4" s="1"/>
  <c r="AI18" i="4"/>
  <c r="AJ18" i="4" s="1"/>
  <c r="AJ17" i="4"/>
  <c r="AI17" i="4"/>
  <c r="AI16" i="4"/>
  <c r="AJ16" i="4" s="1"/>
  <c r="AI15" i="4"/>
  <c r="AJ15" i="4" s="1"/>
  <c r="AI14" i="4"/>
  <c r="AJ14" i="4" s="1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F34" i="4"/>
  <c r="AF33" i="4"/>
  <c r="AF32" i="4"/>
  <c r="AF31" i="4"/>
  <c r="AF30" i="4"/>
  <c r="AF29" i="4"/>
  <c r="AF28" i="4"/>
  <c r="AF27" i="4"/>
  <c r="AF26" i="4"/>
  <c r="AF25" i="4"/>
  <c r="AF24" i="4"/>
  <c r="AF23" i="4"/>
  <c r="AF22" i="4"/>
  <c r="AF21" i="4"/>
  <c r="AF20" i="4"/>
  <c r="AF19" i="4"/>
  <c r="AF18" i="4"/>
  <c r="AF17" i="4"/>
  <c r="AF16" i="4"/>
  <c r="AF15" i="4"/>
  <c r="AF14" i="4"/>
  <c r="AE34" i="4"/>
  <c r="AE33" i="4"/>
  <c r="AE32" i="4"/>
  <c r="AE31" i="4"/>
  <c r="AE30" i="4"/>
  <c r="AE29" i="4"/>
  <c r="AE28" i="4"/>
  <c r="AE27" i="4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D34" i="4"/>
  <c r="AD3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A34" i="4"/>
  <c r="AA33" i="4"/>
  <c r="AA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Z10" i="4"/>
  <c r="Y10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4" i="4"/>
  <c r="S15" i="4"/>
  <c r="R14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Q14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N15" i="5" l="1"/>
  <c r="O15" i="5" l="1"/>
  <c r="J9" i="9" l="1"/>
  <c r="I9" i="9"/>
  <c r="J8" i="9"/>
  <c r="J10" i="9" s="1"/>
  <c r="I8" i="9"/>
  <c r="I10" i="9" s="1"/>
  <c r="K9" i="9"/>
  <c r="K8" i="9"/>
  <c r="K10" i="9" s="1"/>
  <c r="C33" i="9"/>
  <c r="B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D33" i="9"/>
  <c r="E33" i="9" l="1"/>
  <c r="E8" i="9"/>
  <c r="P53" i="5" l="1"/>
  <c r="P52" i="5"/>
  <c r="P51" i="5"/>
  <c r="P50" i="5"/>
  <c r="P48" i="5"/>
  <c r="P49" i="5"/>
  <c r="P47" i="5"/>
  <c r="P46" i="5"/>
  <c r="P45" i="5"/>
  <c r="O53" i="5"/>
  <c r="O52" i="5"/>
  <c r="O51" i="5"/>
  <c r="O50" i="5"/>
  <c r="O49" i="5"/>
  <c r="O48" i="5"/>
  <c r="O47" i="5"/>
  <c r="O46" i="5"/>
  <c r="O45" i="5"/>
  <c r="N45" i="5"/>
  <c r="N53" i="5"/>
  <c r="N52" i="5"/>
  <c r="N51" i="5"/>
  <c r="N50" i="5"/>
  <c r="N49" i="5"/>
  <c r="N48" i="5"/>
  <c r="N47" i="5"/>
  <c r="N46" i="5"/>
  <c r="J45" i="5"/>
  <c r="J46" i="5"/>
  <c r="J47" i="5"/>
  <c r="J48" i="5"/>
  <c r="J49" i="5"/>
  <c r="J50" i="5"/>
  <c r="J51" i="5"/>
  <c r="J52" i="5"/>
  <c r="J53" i="5"/>
  <c r="K53" i="5" s="1"/>
  <c r="L53" i="5" s="1"/>
  <c r="M53" i="5" s="1"/>
  <c r="K52" i="5"/>
  <c r="L52" i="5" s="1"/>
  <c r="M52" i="5" s="1"/>
  <c r="K51" i="5"/>
  <c r="L51" i="5" s="1"/>
  <c r="M51" i="5" s="1"/>
  <c r="K48" i="5"/>
  <c r="L48" i="5" s="1"/>
  <c r="M48" i="5" s="1"/>
  <c r="Q48" i="5" s="1"/>
  <c r="R48" i="5" s="1"/>
  <c r="S48" i="5" s="1"/>
  <c r="T48" i="5" s="1"/>
  <c r="U48" i="5" s="1"/>
  <c r="V48" i="5" s="1"/>
  <c r="W48" i="5" s="1"/>
  <c r="X48" i="5" s="1"/>
  <c r="Y48" i="5" s="1"/>
  <c r="Z48" i="5" s="1"/>
  <c r="AA48" i="5" s="1"/>
  <c r="AB48" i="5" s="1"/>
  <c r="AC48" i="5" s="1"/>
  <c r="AD48" i="5" s="1"/>
  <c r="AE48" i="5" s="1"/>
  <c r="AF48" i="5" s="1"/>
  <c r="AG48" i="5" s="1"/>
  <c r="AH48" i="5" s="1"/>
  <c r="AI48" i="5" s="1"/>
  <c r="AJ48" i="5" s="1"/>
  <c r="AK48" i="5" s="1"/>
  <c r="I54" i="5"/>
  <c r="H54" i="5"/>
  <c r="G54" i="5"/>
  <c r="F54" i="5"/>
  <c r="E54" i="5"/>
  <c r="D54" i="5"/>
  <c r="C54" i="5"/>
  <c r="B54" i="5"/>
  <c r="K50" i="5"/>
  <c r="L50" i="5" s="1"/>
  <c r="M50" i="5" s="1"/>
  <c r="K49" i="5"/>
  <c r="L49" i="5" s="1"/>
  <c r="M49" i="5" s="1"/>
  <c r="K47" i="5"/>
  <c r="L47" i="5" s="1"/>
  <c r="M47" i="5" s="1"/>
  <c r="K46" i="5"/>
  <c r="L46" i="5" s="1"/>
  <c r="M46" i="5" s="1"/>
  <c r="J54" i="5"/>
  <c r="C35" i="5"/>
  <c r="B35" i="5"/>
  <c r="F35" i="5"/>
  <c r="E35" i="5"/>
  <c r="D35" i="5"/>
  <c r="H24" i="5"/>
  <c r="H35" i="5" s="1"/>
  <c r="G24" i="5"/>
  <c r="G35" i="5" s="1"/>
  <c r="O53" i="4"/>
  <c r="O52" i="4"/>
  <c r="O51" i="4"/>
  <c r="P51" i="4" s="1"/>
  <c r="Q51" i="4" s="1"/>
  <c r="R51" i="4" s="1"/>
  <c r="S51" i="4" s="1"/>
  <c r="T51" i="4" s="1"/>
  <c r="U51" i="4" s="1"/>
  <c r="V51" i="4" s="1"/>
  <c r="O50" i="4"/>
  <c r="O49" i="4"/>
  <c r="P49" i="4" s="1"/>
  <c r="Q49" i="4" s="1"/>
  <c r="R49" i="4" s="1"/>
  <c r="S49" i="4" s="1"/>
  <c r="T49" i="4" s="1"/>
  <c r="U49" i="4" s="1"/>
  <c r="V49" i="4" s="1"/>
  <c r="O48" i="4"/>
  <c r="O47" i="4"/>
  <c r="O46" i="4"/>
  <c r="O45" i="4"/>
  <c r="N53" i="4"/>
  <c r="N52" i="4"/>
  <c r="N51" i="4"/>
  <c r="N50" i="4"/>
  <c r="N49" i="4"/>
  <c r="N48" i="4"/>
  <c r="N47" i="4"/>
  <c r="N46" i="4"/>
  <c r="N45" i="4"/>
  <c r="M53" i="4"/>
  <c r="M52" i="4"/>
  <c r="M51" i="4"/>
  <c r="M50" i="4"/>
  <c r="M49" i="4"/>
  <c r="M48" i="4"/>
  <c r="M47" i="4"/>
  <c r="M46" i="4"/>
  <c r="M45" i="4"/>
  <c r="L53" i="4"/>
  <c r="L52" i="4"/>
  <c r="L51" i="4"/>
  <c r="L50" i="4"/>
  <c r="L49" i="4"/>
  <c r="L48" i="4"/>
  <c r="L47" i="4"/>
  <c r="L46" i="4"/>
  <c r="L45" i="4"/>
  <c r="K53" i="4"/>
  <c r="K52" i="4"/>
  <c r="K51" i="4"/>
  <c r="K50" i="4"/>
  <c r="P50" i="4" s="1"/>
  <c r="Q50" i="4" s="1"/>
  <c r="R50" i="4" s="1"/>
  <c r="S50" i="4" s="1"/>
  <c r="T50" i="4" s="1"/>
  <c r="U50" i="4" s="1"/>
  <c r="V50" i="4" s="1"/>
  <c r="K49" i="4"/>
  <c r="K48" i="4"/>
  <c r="K47" i="4"/>
  <c r="K46" i="4"/>
  <c r="K45" i="4"/>
  <c r="J53" i="4"/>
  <c r="J52" i="4"/>
  <c r="J51" i="4"/>
  <c r="J50" i="4"/>
  <c r="J49" i="4"/>
  <c r="J48" i="4"/>
  <c r="J47" i="4"/>
  <c r="J46" i="4"/>
  <c r="J45" i="4"/>
  <c r="P53" i="4"/>
  <c r="Q53" i="4" s="1"/>
  <c r="R53" i="4" s="1"/>
  <c r="S53" i="4" s="1"/>
  <c r="T53" i="4" s="1"/>
  <c r="U53" i="4" s="1"/>
  <c r="V53" i="4" s="1"/>
  <c r="P52" i="4"/>
  <c r="Q52" i="4" s="1"/>
  <c r="R52" i="4" s="1"/>
  <c r="S52" i="4" s="1"/>
  <c r="T52" i="4" s="1"/>
  <c r="U52" i="4" s="1"/>
  <c r="V52" i="4" s="1"/>
  <c r="P45" i="4"/>
  <c r="Q45" i="4" s="1"/>
  <c r="R45" i="4" s="1"/>
  <c r="S45" i="4" s="1"/>
  <c r="T45" i="4" s="1"/>
  <c r="U45" i="4" s="1"/>
  <c r="V45" i="4" s="1"/>
  <c r="Q46" i="5" l="1"/>
  <c r="R46" i="5" s="1"/>
  <c r="S46" i="5" s="1"/>
  <c r="T46" i="5" s="1"/>
  <c r="U46" i="5" s="1"/>
  <c r="V46" i="5" s="1"/>
  <c r="W46" i="5" s="1"/>
  <c r="X46" i="5" s="1"/>
  <c r="Y46" i="5" s="1"/>
  <c r="Z46" i="5" s="1"/>
  <c r="AA46" i="5" s="1"/>
  <c r="AB46" i="5" s="1"/>
  <c r="AC46" i="5" s="1"/>
  <c r="AD46" i="5" s="1"/>
  <c r="AE46" i="5" s="1"/>
  <c r="AF46" i="5" s="1"/>
  <c r="AG46" i="5" s="1"/>
  <c r="AH46" i="5" s="1"/>
  <c r="AI46" i="5" s="1"/>
  <c r="AJ46" i="5" s="1"/>
  <c r="AK46" i="5" s="1"/>
  <c r="Q53" i="5"/>
  <c r="R53" i="5" s="1"/>
  <c r="S53" i="5" s="1"/>
  <c r="T53" i="5" s="1"/>
  <c r="U53" i="5" s="1"/>
  <c r="V53" i="5" s="1"/>
  <c r="W53" i="5" s="1"/>
  <c r="X53" i="5" s="1"/>
  <c r="Y53" i="5" s="1"/>
  <c r="Z53" i="5" s="1"/>
  <c r="AA53" i="5" s="1"/>
  <c r="AB53" i="5" s="1"/>
  <c r="AC53" i="5" s="1"/>
  <c r="AD53" i="5" s="1"/>
  <c r="AE53" i="5" s="1"/>
  <c r="AF53" i="5" s="1"/>
  <c r="AG53" i="5" s="1"/>
  <c r="AH53" i="5" s="1"/>
  <c r="AI53" i="5" s="1"/>
  <c r="AJ53" i="5" s="1"/>
  <c r="AK53" i="5" s="1"/>
  <c r="Q52" i="5"/>
  <c r="R52" i="5" s="1"/>
  <c r="S52" i="5" s="1"/>
  <c r="T52" i="5" s="1"/>
  <c r="U52" i="5" s="1"/>
  <c r="V52" i="5" s="1"/>
  <c r="W52" i="5" s="1"/>
  <c r="X52" i="5" s="1"/>
  <c r="Y52" i="5" s="1"/>
  <c r="Z52" i="5" s="1"/>
  <c r="AA52" i="5" s="1"/>
  <c r="AB52" i="5" s="1"/>
  <c r="AC52" i="5" s="1"/>
  <c r="AD52" i="5" s="1"/>
  <c r="AE52" i="5" s="1"/>
  <c r="AF52" i="5" s="1"/>
  <c r="AG52" i="5" s="1"/>
  <c r="AH52" i="5" s="1"/>
  <c r="AI52" i="5" s="1"/>
  <c r="AJ52" i="5" s="1"/>
  <c r="AK52" i="5" s="1"/>
  <c r="Q51" i="5"/>
  <c r="R51" i="5" s="1"/>
  <c r="S51" i="5" s="1"/>
  <c r="T51" i="5" s="1"/>
  <c r="U51" i="5" s="1"/>
  <c r="V51" i="5" s="1"/>
  <c r="W51" i="5" s="1"/>
  <c r="X51" i="5" s="1"/>
  <c r="Y51" i="5" s="1"/>
  <c r="Z51" i="5" s="1"/>
  <c r="AA51" i="5" s="1"/>
  <c r="AB51" i="5" s="1"/>
  <c r="AC51" i="5" s="1"/>
  <c r="AD51" i="5" s="1"/>
  <c r="AE51" i="5" s="1"/>
  <c r="AF51" i="5" s="1"/>
  <c r="AG51" i="5" s="1"/>
  <c r="AH51" i="5" s="1"/>
  <c r="AI51" i="5" s="1"/>
  <c r="AJ51" i="5" s="1"/>
  <c r="AK51" i="5" s="1"/>
  <c r="Q50" i="5"/>
  <c r="R50" i="5" s="1"/>
  <c r="S50" i="5" s="1"/>
  <c r="T50" i="5" s="1"/>
  <c r="U50" i="5" s="1"/>
  <c r="V50" i="5" s="1"/>
  <c r="W50" i="5" s="1"/>
  <c r="X50" i="5" s="1"/>
  <c r="Y50" i="5" s="1"/>
  <c r="Z50" i="5" s="1"/>
  <c r="AA50" i="5" s="1"/>
  <c r="AB50" i="5" s="1"/>
  <c r="AC50" i="5" s="1"/>
  <c r="AD50" i="5" s="1"/>
  <c r="AE50" i="5" s="1"/>
  <c r="AF50" i="5" s="1"/>
  <c r="AG50" i="5" s="1"/>
  <c r="AH50" i="5" s="1"/>
  <c r="AI50" i="5" s="1"/>
  <c r="AJ50" i="5" s="1"/>
  <c r="AK50" i="5" s="1"/>
  <c r="Q49" i="5"/>
  <c r="R49" i="5" s="1"/>
  <c r="S49" i="5" s="1"/>
  <c r="T49" i="5" s="1"/>
  <c r="U49" i="5" s="1"/>
  <c r="V49" i="5" s="1"/>
  <c r="W49" i="5" s="1"/>
  <c r="X49" i="5" s="1"/>
  <c r="Y49" i="5" s="1"/>
  <c r="Z49" i="5" s="1"/>
  <c r="AA49" i="5" s="1"/>
  <c r="AB49" i="5" s="1"/>
  <c r="AC49" i="5" s="1"/>
  <c r="AD49" i="5" s="1"/>
  <c r="AE49" i="5" s="1"/>
  <c r="AF49" i="5" s="1"/>
  <c r="AG49" i="5" s="1"/>
  <c r="AH49" i="5" s="1"/>
  <c r="AI49" i="5" s="1"/>
  <c r="AJ49" i="5" s="1"/>
  <c r="AK49" i="5" s="1"/>
  <c r="Q47" i="5"/>
  <c r="R47" i="5" s="1"/>
  <c r="S47" i="5" s="1"/>
  <c r="T47" i="5" s="1"/>
  <c r="U47" i="5" s="1"/>
  <c r="V47" i="5" s="1"/>
  <c r="W47" i="5" s="1"/>
  <c r="X47" i="5" s="1"/>
  <c r="Y47" i="5" s="1"/>
  <c r="Z47" i="5" s="1"/>
  <c r="AA47" i="5" s="1"/>
  <c r="AB47" i="5" s="1"/>
  <c r="AC47" i="5" s="1"/>
  <c r="AD47" i="5" s="1"/>
  <c r="AE47" i="5" s="1"/>
  <c r="AF47" i="5" s="1"/>
  <c r="AG47" i="5" s="1"/>
  <c r="AH47" i="5" s="1"/>
  <c r="AI47" i="5" s="1"/>
  <c r="AJ47" i="5" s="1"/>
  <c r="AK47" i="5" s="1"/>
  <c r="K45" i="5"/>
  <c r="H36" i="5"/>
  <c r="I35" i="5"/>
  <c r="I36" i="5" s="1"/>
  <c r="P48" i="4"/>
  <c r="Q48" i="4" s="1"/>
  <c r="R48" i="4" s="1"/>
  <c r="S48" i="4" s="1"/>
  <c r="T48" i="4" s="1"/>
  <c r="U48" i="4" s="1"/>
  <c r="V48" i="4" s="1"/>
  <c r="P47" i="4"/>
  <c r="Q47" i="4" s="1"/>
  <c r="R47" i="4" s="1"/>
  <c r="S47" i="4" s="1"/>
  <c r="T47" i="4" s="1"/>
  <c r="U47" i="4" s="1"/>
  <c r="V47" i="4" s="1"/>
  <c r="P46" i="4"/>
  <c r="Q46" i="4" s="1"/>
  <c r="R46" i="4" s="1"/>
  <c r="S46" i="4" s="1"/>
  <c r="T46" i="4" s="1"/>
  <c r="U46" i="4" s="1"/>
  <c r="V46" i="4" s="1"/>
  <c r="K54" i="5" l="1"/>
  <c r="L45" i="5"/>
  <c r="L54" i="5" l="1"/>
  <c r="M45" i="5"/>
  <c r="M54" i="5" l="1"/>
  <c r="W49" i="4"/>
  <c r="X49" i="4" s="1"/>
  <c r="W53" i="4"/>
  <c r="X53" i="4" s="1"/>
  <c r="Y53" i="4" s="1"/>
  <c r="Z53" i="4" s="1"/>
  <c r="AA53" i="4" s="1"/>
  <c r="AB53" i="4" s="1"/>
  <c r="AC53" i="4" s="1"/>
  <c r="AD53" i="4" s="1"/>
  <c r="AE53" i="4" s="1"/>
  <c r="AF53" i="4" s="1"/>
  <c r="AG53" i="4" s="1"/>
  <c r="AH53" i="4" s="1"/>
  <c r="AI53" i="4" s="1"/>
  <c r="AJ53" i="4" s="1"/>
  <c r="AK53" i="4" s="1"/>
  <c r="W51" i="4"/>
  <c r="X51" i="4" s="1"/>
  <c r="W50" i="4"/>
  <c r="X50" i="4" s="1"/>
  <c r="Y50" i="4" s="1"/>
  <c r="Z50" i="4" s="1"/>
  <c r="AA50" i="4" s="1"/>
  <c r="AB50" i="4" s="1"/>
  <c r="AC50" i="4" s="1"/>
  <c r="AD50" i="4" s="1"/>
  <c r="AE50" i="4" s="1"/>
  <c r="AF50" i="4" s="1"/>
  <c r="AG50" i="4" s="1"/>
  <c r="AH50" i="4" s="1"/>
  <c r="AI50" i="4" s="1"/>
  <c r="AJ50" i="4" s="1"/>
  <c r="AK50" i="4" s="1"/>
  <c r="W48" i="4"/>
  <c r="X48" i="4" s="1"/>
  <c r="W47" i="4"/>
  <c r="X47" i="4" s="1"/>
  <c r="W46" i="4"/>
  <c r="X46" i="4" s="1"/>
  <c r="W45" i="4"/>
  <c r="X45" i="4" s="1"/>
  <c r="N54" i="5" l="1"/>
  <c r="W52" i="4"/>
  <c r="X52" i="4" s="1"/>
  <c r="Y52" i="4" s="1"/>
  <c r="Z52" i="4" s="1"/>
  <c r="AA52" i="4" s="1"/>
  <c r="AB52" i="4" s="1"/>
  <c r="AC52" i="4" s="1"/>
  <c r="AD52" i="4" s="1"/>
  <c r="AE52" i="4" s="1"/>
  <c r="AF52" i="4" s="1"/>
  <c r="AG52" i="4" s="1"/>
  <c r="AH52" i="4" s="1"/>
  <c r="AI52" i="4" s="1"/>
  <c r="AJ52" i="4" s="1"/>
  <c r="AK52" i="4" s="1"/>
  <c r="Y45" i="4"/>
  <c r="Z45" i="4" s="1"/>
  <c r="AA45" i="4" s="1"/>
  <c r="AB45" i="4" s="1"/>
  <c r="AC45" i="4" s="1"/>
  <c r="AD45" i="4" s="1"/>
  <c r="AE45" i="4" s="1"/>
  <c r="AF45" i="4" s="1"/>
  <c r="AG45" i="4" s="1"/>
  <c r="AH45" i="4" s="1"/>
  <c r="AI45" i="4" s="1"/>
  <c r="AJ45" i="4" s="1"/>
  <c r="AK45" i="4" s="1"/>
  <c r="Y51" i="4"/>
  <c r="Z51" i="4" s="1"/>
  <c r="AA51" i="4" s="1"/>
  <c r="AB51" i="4" s="1"/>
  <c r="AC51" i="4" s="1"/>
  <c r="AD51" i="4" s="1"/>
  <c r="AE51" i="4" s="1"/>
  <c r="AF51" i="4" s="1"/>
  <c r="AG51" i="4" s="1"/>
  <c r="AH51" i="4" s="1"/>
  <c r="AI51" i="4" s="1"/>
  <c r="AJ51" i="4" s="1"/>
  <c r="AK51" i="4" s="1"/>
  <c r="Y49" i="4"/>
  <c r="Z49" i="4" s="1"/>
  <c r="AA49" i="4" s="1"/>
  <c r="AB49" i="4" s="1"/>
  <c r="AC49" i="4" s="1"/>
  <c r="AD49" i="4" s="1"/>
  <c r="AE49" i="4" s="1"/>
  <c r="AF49" i="4" s="1"/>
  <c r="AG49" i="4" s="1"/>
  <c r="AH49" i="4" s="1"/>
  <c r="AI49" i="4" s="1"/>
  <c r="AJ49" i="4" s="1"/>
  <c r="AK49" i="4" s="1"/>
  <c r="Y48" i="4"/>
  <c r="Z48" i="4" s="1"/>
  <c r="AA48" i="4" s="1"/>
  <c r="AB48" i="4" s="1"/>
  <c r="AC48" i="4" s="1"/>
  <c r="AD48" i="4" s="1"/>
  <c r="AE48" i="4" s="1"/>
  <c r="AF48" i="4" s="1"/>
  <c r="AG48" i="4" s="1"/>
  <c r="AH48" i="4" s="1"/>
  <c r="AI48" i="4" s="1"/>
  <c r="AJ48" i="4" s="1"/>
  <c r="AK48" i="4" s="1"/>
  <c r="Y47" i="4"/>
  <c r="Z47" i="4" s="1"/>
  <c r="AA47" i="4" s="1"/>
  <c r="AB47" i="4" s="1"/>
  <c r="AC47" i="4" s="1"/>
  <c r="AD47" i="4" s="1"/>
  <c r="AE47" i="4" s="1"/>
  <c r="AF47" i="4" s="1"/>
  <c r="AG47" i="4" s="1"/>
  <c r="AH47" i="4" s="1"/>
  <c r="AI47" i="4" s="1"/>
  <c r="AJ47" i="4" s="1"/>
  <c r="AK47" i="4" s="1"/>
  <c r="Y46" i="4"/>
  <c r="Z46" i="4" s="1"/>
  <c r="AA46" i="4" s="1"/>
  <c r="AB46" i="4" s="1"/>
  <c r="AC46" i="4" s="1"/>
  <c r="AD46" i="4" s="1"/>
  <c r="AE46" i="4" s="1"/>
  <c r="AF46" i="4" s="1"/>
  <c r="AG46" i="4" s="1"/>
  <c r="AH46" i="4" s="1"/>
  <c r="AI46" i="4" s="1"/>
  <c r="AJ46" i="4" s="1"/>
  <c r="AK46" i="4" s="1"/>
  <c r="O54" i="5" l="1"/>
  <c r="Q45" i="5" l="1"/>
  <c r="P54" i="5"/>
  <c r="Q54" i="5" l="1"/>
  <c r="R45" i="5"/>
  <c r="R54" i="5" l="1"/>
  <c r="S45" i="5"/>
  <c r="S54" i="5" l="1"/>
  <c r="T45" i="5"/>
  <c r="T54" i="5" l="1"/>
  <c r="U45" i="5"/>
  <c r="U54" i="5" l="1"/>
  <c r="V45" i="5"/>
  <c r="W45" i="5" l="1"/>
  <c r="V54" i="5"/>
  <c r="X45" i="5" l="1"/>
  <c r="W54" i="5"/>
  <c r="Y45" i="5" l="1"/>
  <c r="X54" i="5"/>
  <c r="Y54" i="5" l="1"/>
  <c r="Z45" i="5"/>
  <c r="Z54" i="5" l="1"/>
  <c r="AA45" i="5"/>
  <c r="AA54" i="5" l="1"/>
  <c r="AB45" i="5"/>
  <c r="AB54" i="5" l="1"/>
  <c r="AC45" i="5"/>
  <c r="AC54" i="5" l="1"/>
  <c r="AD45" i="5"/>
  <c r="AD54" i="5" l="1"/>
  <c r="AE45" i="5"/>
  <c r="AF45" i="5" l="1"/>
  <c r="AE54" i="5"/>
  <c r="AG45" i="5" l="1"/>
  <c r="AF54" i="5"/>
  <c r="AH45" i="5" l="1"/>
  <c r="AG54" i="5"/>
  <c r="AH54" i="5" l="1"/>
  <c r="AI45" i="5"/>
  <c r="AI54" i="5" l="1"/>
  <c r="AJ45" i="5"/>
  <c r="AK45" i="5" l="1"/>
  <c r="AK54" i="5" s="1"/>
  <c r="AJ54" i="5"/>
  <c r="AK54" i="4" l="1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C35" i="4"/>
  <c r="B35" i="4"/>
  <c r="J34" i="4" l="1"/>
  <c r="J30" i="4"/>
  <c r="J27" i="4"/>
  <c r="J21" i="4"/>
  <c r="J20" i="4"/>
  <c r="J19" i="4"/>
  <c r="K19" i="4" s="1"/>
  <c r="J17" i="4"/>
  <c r="J16" i="4"/>
  <c r="J15" i="4"/>
  <c r="K14" i="4"/>
  <c r="J24" i="4"/>
  <c r="J31" i="4"/>
  <c r="AK7" i="5"/>
  <c r="AK10" i="5" s="1"/>
  <c r="AJ7" i="5"/>
  <c r="AJ10" i="5" s="1"/>
  <c r="AI7" i="5"/>
  <c r="AI10" i="5" s="1"/>
  <c r="AH7" i="5"/>
  <c r="AH10" i="5" s="1"/>
  <c r="AG7" i="5"/>
  <c r="AG10" i="5" s="1"/>
  <c r="AF7" i="5"/>
  <c r="AF10" i="5" s="1"/>
  <c r="AE7" i="5"/>
  <c r="AE10" i="5" s="1"/>
  <c r="AD7" i="5"/>
  <c r="AD10" i="5" s="1"/>
  <c r="AC7" i="5"/>
  <c r="AC10" i="5" s="1"/>
  <c r="AB7" i="5"/>
  <c r="AB10" i="5" s="1"/>
  <c r="AA7" i="5"/>
  <c r="AA10" i="5" s="1"/>
  <c r="Z7" i="5"/>
  <c r="Z10" i="5" s="1"/>
  <c r="Y7" i="5"/>
  <c r="Y10" i="5" s="1"/>
  <c r="X7" i="5"/>
  <c r="X10" i="5" s="1"/>
  <c r="W7" i="5"/>
  <c r="W10" i="5" s="1"/>
  <c r="V7" i="5"/>
  <c r="V10" i="5" s="1"/>
  <c r="U7" i="5"/>
  <c r="U10" i="5" s="1"/>
  <c r="T7" i="5"/>
  <c r="T10" i="5" s="1"/>
  <c r="S7" i="5"/>
  <c r="S10" i="5" s="1"/>
  <c r="R7" i="5"/>
  <c r="R10" i="5" s="1"/>
  <c r="Q7" i="5"/>
  <c r="Q10" i="5" s="1"/>
  <c r="P7" i="5"/>
  <c r="P10" i="5" s="1"/>
  <c r="P15" i="5" s="1"/>
  <c r="O7" i="5"/>
  <c r="O10" i="5" s="1"/>
  <c r="Q15" i="5" l="1"/>
  <c r="R15" i="5" s="1"/>
  <c r="S15" i="5" s="1"/>
  <c r="T15" i="5" s="1"/>
  <c r="U15" i="5" s="1"/>
  <c r="V15" i="5" s="1"/>
  <c r="W15" i="5" s="1"/>
  <c r="X15" i="5" s="1"/>
  <c r="Y15" i="5" s="1"/>
  <c r="Z15" i="5" s="1"/>
  <c r="AA15" i="5" s="1"/>
  <c r="AB15" i="5" s="1"/>
  <c r="AC15" i="5" s="1"/>
  <c r="AD15" i="5" s="1"/>
  <c r="AE15" i="5" s="1"/>
  <c r="AF15" i="5" s="1"/>
  <c r="AG15" i="5" s="1"/>
  <c r="AH15" i="5" s="1"/>
  <c r="AI15" i="5" s="1"/>
  <c r="AJ15" i="5" s="1"/>
  <c r="AK15" i="5" s="1"/>
  <c r="J10" i="4"/>
  <c r="J7" i="5"/>
  <c r="J10" i="5" s="1"/>
  <c r="K10" i="4"/>
  <c r="K7" i="5"/>
  <c r="K10" i="5" s="1"/>
  <c r="L10" i="4"/>
  <c r="L7" i="5"/>
  <c r="L10" i="5" s="1"/>
  <c r="M10" i="4"/>
  <c r="M7" i="5"/>
  <c r="M10" i="5" s="1"/>
  <c r="N10" i="4"/>
  <c r="N7" i="5"/>
  <c r="N10" i="5" s="1"/>
  <c r="G54" i="4"/>
  <c r="F54" i="4"/>
  <c r="E54" i="4"/>
  <c r="D54" i="4"/>
  <c r="C54" i="4"/>
  <c r="B54" i="4"/>
  <c r="N30" i="5" l="1"/>
  <c r="N16" i="5"/>
  <c r="N27" i="5"/>
  <c r="O27" i="5" s="1"/>
  <c r="P27" i="5" s="1"/>
  <c r="Q27" i="5" s="1"/>
  <c r="R27" i="5" s="1"/>
  <c r="S27" i="5" s="1"/>
  <c r="T27" i="5" s="1"/>
  <c r="U27" i="5" s="1"/>
  <c r="V27" i="5" s="1"/>
  <c r="W27" i="5" s="1"/>
  <c r="X27" i="5" s="1"/>
  <c r="Y27" i="5" s="1"/>
  <c r="Z27" i="5" s="1"/>
  <c r="AA27" i="5" s="1"/>
  <c r="AB27" i="5" s="1"/>
  <c r="AC27" i="5" s="1"/>
  <c r="AD27" i="5" s="1"/>
  <c r="AE27" i="5" s="1"/>
  <c r="AF27" i="5" s="1"/>
  <c r="AG27" i="5" s="1"/>
  <c r="AH27" i="5" s="1"/>
  <c r="AI27" i="5" s="1"/>
  <c r="AJ27" i="5" s="1"/>
  <c r="AK27" i="5" s="1"/>
  <c r="N21" i="5"/>
  <c r="N24" i="5"/>
  <c r="O24" i="5" s="1"/>
  <c r="P24" i="5" s="1"/>
  <c r="Q24" i="5" s="1"/>
  <c r="R24" i="5" s="1"/>
  <c r="S24" i="5" s="1"/>
  <c r="T24" i="5" s="1"/>
  <c r="U24" i="5" s="1"/>
  <c r="V24" i="5" s="1"/>
  <c r="W24" i="5" s="1"/>
  <c r="X24" i="5" s="1"/>
  <c r="Y24" i="5" s="1"/>
  <c r="Z24" i="5" s="1"/>
  <c r="AA24" i="5" s="1"/>
  <c r="AB24" i="5" s="1"/>
  <c r="AC24" i="5" s="1"/>
  <c r="AD24" i="5" s="1"/>
  <c r="AE24" i="5" s="1"/>
  <c r="AF24" i="5" s="1"/>
  <c r="AG24" i="5" s="1"/>
  <c r="AH24" i="5" s="1"/>
  <c r="AI24" i="5" s="1"/>
  <c r="AJ24" i="5" s="1"/>
  <c r="AK24" i="5" s="1"/>
  <c r="J30" i="5"/>
  <c r="K30" i="5" s="1"/>
  <c r="L30" i="5" s="1"/>
  <c r="M30" i="5" s="1"/>
  <c r="J22" i="5"/>
  <c r="K22" i="5" s="1"/>
  <c r="L22" i="5" s="1"/>
  <c r="M22" i="5" s="1"/>
  <c r="J14" i="5"/>
  <c r="J34" i="5"/>
  <c r="K34" i="5" s="1"/>
  <c r="L34" i="5" s="1"/>
  <c r="M34" i="5" s="1"/>
  <c r="J17" i="5"/>
  <c r="K17" i="5" s="1"/>
  <c r="L17" i="5" s="1"/>
  <c r="M17" i="5" s="1"/>
  <c r="J32" i="5"/>
  <c r="K32" i="5" s="1"/>
  <c r="L32" i="5" s="1"/>
  <c r="M32" i="5" s="1"/>
  <c r="J29" i="5"/>
  <c r="K29" i="5" s="1"/>
  <c r="L29" i="5" s="1"/>
  <c r="M29" i="5" s="1"/>
  <c r="J21" i="5"/>
  <c r="K21" i="5" s="1"/>
  <c r="L21" i="5" s="1"/>
  <c r="M21" i="5" s="1"/>
  <c r="O21" i="5" s="1"/>
  <c r="P21" i="5" s="1"/>
  <c r="Q21" i="5" s="1"/>
  <c r="R21" i="5" s="1"/>
  <c r="S21" i="5" s="1"/>
  <c r="T21" i="5" s="1"/>
  <c r="U21" i="5" s="1"/>
  <c r="V21" i="5" s="1"/>
  <c r="W21" i="5" s="1"/>
  <c r="X21" i="5" s="1"/>
  <c r="Y21" i="5" s="1"/>
  <c r="Z21" i="5" s="1"/>
  <c r="AA21" i="5" s="1"/>
  <c r="AB21" i="5" s="1"/>
  <c r="AC21" i="5" s="1"/>
  <c r="AD21" i="5" s="1"/>
  <c r="AE21" i="5" s="1"/>
  <c r="AF21" i="5" s="1"/>
  <c r="AG21" i="5" s="1"/>
  <c r="AH21" i="5" s="1"/>
  <c r="AI21" i="5" s="1"/>
  <c r="AJ21" i="5" s="1"/>
  <c r="AK21" i="5" s="1"/>
  <c r="J20" i="5"/>
  <c r="K20" i="5" s="1"/>
  <c r="L20" i="5" s="1"/>
  <c r="M20" i="5" s="1"/>
  <c r="J18" i="5"/>
  <c r="K18" i="5" s="1"/>
  <c r="L18" i="5" s="1"/>
  <c r="M18" i="5" s="1"/>
  <c r="J25" i="5"/>
  <c r="K25" i="5" s="1"/>
  <c r="L25" i="5" s="1"/>
  <c r="M25" i="5" s="1"/>
  <c r="J24" i="5"/>
  <c r="K24" i="5" s="1"/>
  <c r="L24" i="5" s="1"/>
  <c r="M24" i="5" s="1"/>
  <c r="J16" i="5"/>
  <c r="K16" i="5" s="1"/>
  <c r="L16" i="5" s="1"/>
  <c r="M16" i="5" s="1"/>
  <c r="O16" i="5" s="1"/>
  <c r="P16" i="5" s="1"/>
  <c r="Q16" i="5" s="1"/>
  <c r="R16" i="5" s="1"/>
  <c r="S16" i="5" s="1"/>
  <c r="T16" i="5" s="1"/>
  <c r="U16" i="5" s="1"/>
  <c r="V16" i="5" s="1"/>
  <c r="W16" i="5" s="1"/>
  <c r="X16" i="5" s="1"/>
  <c r="Y16" i="5" s="1"/>
  <c r="Z16" i="5" s="1"/>
  <c r="AA16" i="5" s="1"/>
  <c r="AB16" i="5" s="1"/>
  <c r="AC16" i="5" s="1"/>
  <c r="AD16" i="5" s="1"/>
  <c r="AE16" i="5" s="1"/>
  <c r="AF16" i="5" s="1"/>
  <c r="AG16" i="5" s="1"/>
  <c r="AH16" i="5" s="1"/>
  <c r="AI16" i="5" s="1"/>
  <c r="AJ16" i="5" s="1"/>
  <c r="AK16" i="5" s="1"/>
  <c r="J27" i="5"/>
  <c r="K27" i="5" s="1"/>
  <c r="L27" i="5" s="1"/>
  <c r="M27" i="5" s="1"/>
  <c r="J19" i="5"/>
  <c r="K19" i="5" s="1"/>
  <c r="L19" i="5" s="1"/>
  <c r="M19" i="5" s="1"/>
  <c r="AI19" i="5" s="1"/>
  <c r="AJ19" i="5" s="1"/>
  <c r="AK19" i="5" s="1"/>
  <c r="J26" i="5"/>
  <c r="K26" i="5" s="1"/>
  <c r="L26" i="5" s="1"/>
  <c r="M26" i="5" s="1"/>
  <c r="J33" i="5"/>
  <c r="K33" i="5" s="1"/>
  <c r="L33" i="5" s="1"/>
  <c r="M33" i="5" s="1"/>
  <c r="J31" i="5"/>
  <c r="K31" i="5" s="1"/>
  <c r="L31" i="5" s="1"/>
  <c r="M31" i="5" s="1"/>
  <c r="J23" i="5"/>
  <c r="K23" i="5" s="1"/>
  <c r="L23" i="5" s="1"/>
  <c r="M23" i="5" s="1"/>
  <c r="J15" i="5"/>
  <c r="K15" i="5" s="1"/>
  <c r="L15" i="5" s="1"/>
  <c r="M15" i="5" s="1"/>
  <c r="F35" i="4"/>
  <c r="E35" i="4"/>
  <c r="D35" i="4"/>
  <c r="L34" i="4"/>
  <c r="M34" i="4" s="1"/>
  <c r="N34" i="4" s="1"/>
  <c r="K33" i="4"/>
  <c r="L33" i="4" s="1"/>
  <c r="M33" i="4" s="1"/>
  <c r="M32" i="4"/>
  <c r="N32" i="4" s="1"/>
  <c r="K31" i="4"/>
  <c r="L31" i="4" s="1"/>
  <c r="N31" i="4" s="1"/>
  <c r="K29" i="4"/>
  <c r="M29" i="4" s="1"/>
  <c r="N29" i="4" s="1"/>
  <c r="K28" i="4"/>
  <c r="L28" i="4" s="1"/>
  <c r="M28" i="4" s="1"/>
  <c r="N28" i="4" s="1"/>
  <c r="K27" i="4"/>
  <c r="M27" i="4" s="1"/>
  <c r="M26" i="4"/>
  <c r="N26" i="4" s="1"/>
  <c r="K25" i="4"/>
  <c r="L25" i="4" s="1"/>
  <c r="M25" i="4" s="1"/>
  <c r="N25" i="4" s="1"/>
  <c r="H24" i="4"/>
  <c r="H35" i="4" s="1"/>
  <c r="G24" i="4"/>
  <c r="G35" i="4" s="1"/>
  <c r="L23" i="4"/>
  <c r="M23" i="4" s="1"/>
  <c r="N23" i="4" s="1"/>
  <c r="K22" i="4"/>
  <c r="M22" i="4" s="1"/>
  <c r="N22" i="4" s="1"/>
  <c r="K21" i="4"/>
  <c r="L21" i="4" s="1"/>
  <c r="M21" i="4" s="1"/>
  <c r="N21" i="4" s="1"/>
  <c r="M20" i="4"/>
  <c r="N20" i="4" s="1"/>
  <c r="L19" i="4"/>
  <c r="M19" i="4" s="1"/>
  <c r="N19" i="4" s="1"/>
  <c r="J18" i="4"/>
  <c r="K18" i="4" s="1"/>
  <c r="L18" i="4" s="1"/>
  <c r="M18" i="4" s="1"/>
  <c r="N18" i="4" s="1"/>
  <c r="M17" i="4"/>
  <c r="N17" i="4" s="1"/>
  <c r="K16" i="4"/>
  <c r="M16" i="4" s="1"/>
  <c r="N16" i="4" s="1"/>
  <c r="M15" i="4"/>
  <c r="N15" i="4" s="1"/>
  <c r="AK10" i="4"/>
  <c r="AJ10" i="4"/>
  <c r="AI10" i="4"/>
  <c r="AH10" i="4"/>
  <c r="AG10" i="4"/>
  <c r="AF10" i="4"/>
  <c r="AE10" i="4"/>
  <c r="AD10" i="4"/>
  <c r="AC10" i="4"/>
  <c r="AB10" i="4"/>
  <c r="AA10" i="4"/>
  <c r="X10" i="4"/>
  <c r="W10" i="4"/>
  <c r="V10" i="4"/>
  <c r="U10" i="4"/>
  <c r="T10" i="4"/>
  <c r="S10" i="4"/>
  <c r="R10" i="4"/>
  <c r="Q10" i="4"/>
  <c r="P10" i="4"/>
  <c r="O10" i="4"/>
  <c r="O23" i="5" l="1"/>
  <c r="P23" i="5" s="1"/>
  <c r="Q23" i="5" s="1"/>
  <c r="R23" i="5" s="1"/>
  <c r="S23" i="5" s="1"/>
  <c r="T23" i="5" s="1"/>
  <c r="U23" i="5" s="1"/>
  <c r="V23" i="5" s="1"/>
  <c r="W23" i="5" s="1"/>
  <c r="X23" i="5" s="1"/>
  <c r="Y23" i="5" s="1"/>
  <c r="Z23" i="5" s="1"/>
  <c r="AA23" i="5" s="1"/>
  <c r="AB23" i="5" s="1"/>
  <c r="AC23" i="5" s="1"/>
  <c r="AD23" i="5" s="1"/>
  <c r="AE23" i="5" s="1"/>
  <c r="AF23" i="5" s="1"/>
  <c r="AG23" i="5" s="1"/>
  <c r="AH23" i="5" s="1"/>
  <c r="AI23" i="5" s="1"/>
  <c r="AJ23" i="5" s="1"/>
  <c r="AK23" i="5" s="1"/>
  <c r="O17" i="5"/>
  <c r="P17" i="5" s="1"/>
  <c r="Q17" i="5" s="1"/>
  <c r="R17" i="5" s="1"/>
  <c r="S17" i="5" s="1"/>
  <c r="T17" i="5" s="1"/>
  <c r="U17" i="5" s="1"/>
  <c r="V17" i="5" s="1"/>
  <c r="W17" i="5" s="1"/>
  <c r="X17" i="5" s="1"/>
  <c r="Y17" i="5" s="1"/>
  <c r="Z17" i="5" s="1"/>
  <c r="AA17" i="5" s="1"/>
  <c r="AB17" i="5" s="1"/>
  <c r="AC17" i="5" s="1"/>
  <c r="AD17" i="5" s="1"/>
  <c r="AE17" i="5" s="1"/>
  <c r="AF17" i="5" s="1"/>
  <c r="AG17" i="5" s="1"/>
  <c r="AH17" i="5" s="1"/>
  <c r="AI17" i="5" s="1"/>
  <c r="AJ17" i="5" s="1"/>
  <c r="AK17" i="5" s="1"/>
  <c r="K14" i="5"/>
  <c r="J35" i="5"/>
  <c r="J36" i="5" s="1"/>
  <c r="H36" i="4"/>
  <c r="M24" i="4"/>
  <c r="N24" i="4" s="1"/>
  <c r="J35" i="4"/>
  <c r="K35" i="4"/>
  <c r="L14" i="5" l="1"/>
  <c r="K35" i="5"/>
  <c r="K36" i="5" s="1"/>
  <c r="K36" i="4"/>
  <c r="J36" i="4"/>
  <c r="I35" i="4"/>
  <c r="I36" i="4" s="1"/>
  <c r="L35" i="4"/>
  <c r="L36" i="4" s="1"/>
  <c r="M14" i="4"/>
  <c r="L35" i="5" l="1"/>
  <c r="L36" i="5" s="1"/>
  <c r="M35" i="4"/>
  <c r="M36" i="4" s="1"/>
  <c r="N14" i="4"/>
  <c r="M35" i="5" l="1"/>
  <c r="M36" i="5" s="1"/>
  <c r="N35" i="4"/>
  <c r="N36" i="4" s="1"/>
  <c r="O14" i="5" l="1"/>
  <c r="P14" i="5" s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N35" i="5"/>
  <c r="N36" i="5" s="1"/>
  <c r="O35" i="4"/>
  <c r="O36" i="4" s="1"/>
  <c r="AA14" i="5" l="1"/>
  <c r="AB14" i="5" s="1"/>
  <c r="AC14" i="5" s="1"/>
  <c r="AD14" i="5" s="1"/>
  <c r="AE14" i="5" s="1"/>
  <c r="AF14" i="5" s="1"/>
  <c r="AG14" i="5" s="1"/>
  <c r="AH14" i="5" s="1"/>
  <c r="AI14" i="5" s="1"/>
  <c r="AJ14" i="5" s="1"/>
  <c r="AK14" i="5" s="1"/>
  <c r="O35" i="5"/>
  <c r="O36" i="5" s="1"/>
  <c r="P35" i="4"/>
  <c r="P36" i="4" s="1"/>
  <c r="P35" i="5" l="1"/>
  <c r="P36" i="5" s="1"/>
  <c r="Q35" i="4"/>
  <c r="Q36" i="4" s="1"/>
  <c r="Q35" i="5" l="1"/>
  <c r="Q36" i="5" s="1"/>
  <c r="R35" i="4"/>
  <c r="R36" i="4" s="1"/>
  <c r="R35" i="5" l="1"/>
  <c r="R36" i="5" s="1"/>
  <c r="S35" i="4"/>
  <c r="S36" i="4" s="1"/>
  <c r="S35" i="5" l="1"/>
  <c r="S36" i="5" s="1"/>
  <c r="T35" i="4"/>
  <c r="T36" i="4" s="1"/>
  <c r="T35" i="5" l="1"/>
  <c r="T36" i="5" s="1"/>
  <c r="U35" i="4"/>
  <c r="U36" i="4" s="1"/>
  <c r="U35" i="5" l="1"/>
  <c r="U36" i="5" s="1"/>
  <c r="V35" i="4"/>
  <c r="V36" i="4" s="1"/>
  <c r="V35" i="5" l="1"/>
  <c r="V36" i="5" s="1"/>
  <c r="W35" i="4"/>
  <c r="W36" i="4" s="1"/>
  <c r="W35" i="5" l="1"/>
  <c r="W36" i="5" s="1"/>
  <c r="X35" i="4"/>
  <c r="X36" i="4" s="1"/>
  <c r="X35" i="5" l="1"/>
  <c r="X36" i="5" s="1"/>
  <c r="Y35" i="4"/>
  <c r="Y36" i="4" s="1"/>
  <c r="Y35" i="5" l="1"/>
  <c r="Y36" i="5" s="1"/>
  <c r="Z35" i="4"/>
  <c r="Z36" i="4" s="1"/>
  <c r="Z35" i="5" l="1"/>
  <c r="Z36" i="5" s="1"/>
  <c r="AA35" i="4"/>
  <c r="AA36" i="4" s="1"/>
  <c r="AA35" i="5" l="1"/>
  <c r="AA36" i="5" s="1"/>
  <c r="AB35" i="4"/>
  <c r="AB36" i="4" s="1"/>
  <c r="AB35" i="5" l="1"/>
  <c r="AC35" i="4"/>
  <c r="AC36" i="4" s="1"/>
  <c r="AB36" i="5" l="1"/>
  <c r="AC35" i="5"/>
  <c r="AC36" i="5" s="1"/>
  <c r="AD35" i="4"/>
  <c r="AD36" i="4" s="1"/>
  <c r="AD35" i="5" l="1"/>
  <c r="AD36" i="5" s="1"/>
  <c r="AE35" i="4"/>
  <c r="AE36" i="4" s="1"/>
  <c r="AE35" i="5" l="1"/>
  <c r="AE36" i="5" s="1"/>
  <c r="AF35" i="4"/>
  <c r="AF36" i="4" s="1"/>
  <c r="AF35" i="5" l="1"/>
  <c r="AF36" i="5" s="1"/>
  <c r="AG35" i="4"/>
  <c r="AG36" i="4" s="1"/>
  <c r="AG35" i="5" l="1"/>
  <c r="AG36" i="5" s="1"/>
  <c r="AH35" i="4"/>
  <c r="AH36" i="4" s="1"/>
  <c r="AH35" i="5" l="1"/>
  <c r="AH36" i="5" s="1"/>
  <c r="AI35" i="4"/>
  <c r="AI36" i="4" s="1"/>
  <c r="AI35" i="5" l="1"/>
  <c r="AI36" i="5" s="1"/>
  <c r="AJ35" i="4"/>
  <c r="AJ36" i="4" s="1"/>
  <c r="AK35" i="4"/>
  <c r="AK35" i="5" l="1"/>
  <c r="AJ35" i="5"/>
  <c r="AJ36" i="5" s="1"/>
  <c r="AK36" i="4"/>
  <c r="AK36" i="5" l="1"/>
</calcChain>
</file>

<file path=xl/sharedStrings.xml><?xml version="1.0" encoding="utf-8"?>
<sst xmlns="http://schemas.openxmlformats.org/spreadsheetml/2006/main" count="280" uniqueCount="137">
  <si>
    <t>ŠTÚDIA USKUTOČNITEĽNOSTI</t>
  </si>
  <si>
    <t xml:space="preserve">KAPACITNÝ MODEL </t>
  </si>
  <si>
    <t>KAPACITNÝ MODEL</t>
  </si>
  <si>
    <t>demografia</t>
  </si>
  <si>
    <t>dopyt</t>
  </si>
  <si>
    <t>presun do JZS</t>
  </si>
  <si>
    <t>spolu</t>
  </si>
  <si>
    <t>Oddelenie</t>
  </si>
  <si>
    <t>POČET  HOSPITALIZAČNÝCH  PRÍPADOV</t>
  </si>
  <si>
    <t>2020</t>
  </si>
  <si>
    <t>2021</t>
  </si>
  <si>
    <t>Odd. vnútorného lekárstva</t>
  </si>
  <si>
    <t>Odd. arytmií a koronárnej jednotky</t>
  </si>
  <si>
    <t>JIS metabolická</t>
  </si>
  <si>
    <t>Neurologické</t>
  </si>
  <si>
    <t>JIS neurologická</t>
  </si>
  <si>
    <t>Pediatrické odd.</t>
  </si>
  <si>
    <t>JRSN</t>
  </si>
  <si>
    <t>JIS pediatrická</t>
  </si>
  <si>
    <t>Novorodenecké odd.</t>
  </si>
  <si>
    <t>Gynekologicko-pôrodnícke odd.</t>
  </si>
  <si>
    <t>Chirurgické odd.</t>
  </si>
  <si>
    <t>JIS chirurgická</t>
  </si>
  <si>
    <t>OAIM</t>
  </si>
  <si>
    <t xml:space="preserve">Ortopedické odd. </t>
  </si>
  <si>
    <t>Odd. úrazovej chirurgie</t>
  </si>
  <si>
    <t>JIS úrazovej chirurgie</t>
  </si>
  <si>
    <t>Otorinolaryngologické odd.</t>
  </si>
  <si>
    <t>Geriatrické odd.</t>
  </si>
  <si>
    <t>Odd. dlhodobo chorých</t>
  </si>
  <si>
    <t>Fyziatricko-rehabilitačné odd.</t>
  </si>
  <si>
    <t>Urologické odd.</t>
  </si>
  <si>
    <t>Spolu za oddelenia</t>
  </si>
  <si>
    <t>Základné vstupy</t>
  </si>
  <si>
    <t>2019*</t>
  </si>
  <si>
    <t>2018*</t>
  </si>
  <si>
    <t>2017*</t>
  </si>
  <si>
    <t>2016*</t>
  </si>
  <si>
    <t>2015*</t>
  </si>
  <si>
    <t>Spolu za nemocnicu</t>
  </si>
  <si>
    <t>Počet hospitalizovaných pacientov (za oddelenia) = (Prijatí+Prevzati+Prepustení+Odovzdaní+Zomretí)/2</t>
  </si>
  <si>
    <t>Počet hospitalizovaných pacientov (za nemocnicu, bez prekladov medzi oddeleniami) = (Prijatí+Prepustení+Zomretí)/2</t>
  </si>
  <si>
    <t>Odborné zameranie</t>
  </si>
  <si>
    <t>POČET  VÝKONOV  JZS</t>
  </si>
  <si>
    <t>2017</t>
  </si>
  <si>
    <t>2018</t>
  </si>
  <si>
    <t>2019</t>
  </si>
  <si>
    <t>Gynekológia a pôrodníctvo</t>
  </si>
  <si>
    <t>Všeobecná chirurgia</t>
  </si>
  <si>
    <t>Ortopédia</t>
  </si>
  <si>
    <t>Urológia</t>
  </si>
  <si>
    <t>Úrazová chirurgia</t>
  </si>
  <si>
    <t>Otorinolaryngológia</t>
  </si>
  <si>
    <t>Oftalmológia</t>
  </si>
  <si>
    <t>Plastická chirurgia</t>
  </si>
  <si>
    <t>Gastroenterológia</t>
  </si>
  <si>
    <t>HOSPITALIZÁCIE</t>
  </si>
  <si>
    <t>rok</t>
  </si>
  <si>
    <t xml:space="preserve">2022 </t>
  </si>
  <si>
    <t>Alternatíva 1 a 2: zachovanie status quo, Base Case</t>
  </si>
  <si>
    <t>-</t>
  </si>
  <si>
    <t>JZS</t>
  </si>
  <si>
    <t>2015</t>
  </si>
  <si>
    <t>2016</t>
  </si>
  <si>
    <t>2022</t>
  </si>
  <si>
    <t>Alternatíva 3: rekonštrukcia</t>
  </si>
  <si>
    <t>prebiehajúca rekonštrukcia</t>
  </si>
  <si>
    <t>počet lôžok</t>
  </si>
  <si>
    <t>ALOS</t>
  </si>
  <si>
    <t xml:space="preserve">Zdroj: Výročné správy Nemocnica Poprad, a.s. </t>
  </si>
  <si>
    <t xml:space="preserve">Využitie lôžkového fondu </t>
  </si>
  <si>
    <t>využitie LF</t>
  </si>
  <si>
    <t>využitie lôžka</t>
  </si>
  <si>
    <t>Počet lôžok</t>
  </si>
  <si>
    <t>60-80%</t>
  </si>
  <si>
    <t>80-100%</t>
  </si>
  <si>
    <t>&lt;60%</t>
  </si>
  <si>
    <t>LÓŽKOVÝ FOND - HISTORICKÉ ÚDAJE</t>
  </si>
  <si>
    <t>LÓŽKOVÝ FOND - SÚČASNÝ STAVA A STAV PO REKONŠTRUKCII</t>
  </si>
  <si>
    <t>Reálny počet lôžok</t>
  </si>
  <si>
    <t>Počet lôžok PSK</t>
  </si>
  <si>
    <t>Rozdiel</t>
  </si>
  <si>
    <t>JIS koronárna</t>
  </si>
  <si>
    <t>NEURO JIS</t>
  </si>
  <si>
    <t>JRSN - jednotka resuscitacnej starostlivosti o novorodencov</t>
  </si>
  <si>
    <t>JIS DETO</t>
  </si>
  <si>
    <t>GYNPORO JIS</t>
  </si>
  <si>
    <t>CHIRO JIS</t>
  </si>
  <si>
    <t>OAIM - anesteziológia a intenzívna medicína</t>
  </si>
  <si>
    <t>ORTO JIS</t>
  </si>
  <si>
    <t>OUCH - oddelenie úrazovej chirurgie</t>
  </si>
  <si>
    <t>OUCH JIS</t>
  </si>
  <si>
    <t>ORL</t>
  </si>
  <si>
    <t>ORL JIS</t>
  </si>
  <si>
    <t>UROLO JIS</t>
  </si>
  <si>
    <t>Spolu</t>
  </si>
  <si>
    <t>ODDELENIE VNÚTORNÉHO LEKÁRSTVA</t>
  </si>
  <si>
    <t xml:space="preserve">NEUROLOGICKÉ ODDELENIE </t>
  </si>
  <si>
    <t xml:space="preserve">PEDIATRICKÉ ODDELENIE </t>
  </si>
  <si>
    <t>GYNEKOLOGICKO-PORODNICKÉ ODDELENIE</t>
  </si>
  <si>
    <t>CHIRURGICKÉ ODDELENIE</t>
  </si>
  <si>
    <t>NOVORODENECKÉ ODDELENIE</t>
  </si>
  <si>
    <t>ORTOPEDICKÉ ODDELENIE</t>
  </si>
  <si>
    <t>GERIATRICKÉ ODDELENIE</t>
  </si>
  <si>
    <t>ODDELENIE DLHODOBO CHORÝCH</t>
  </si>
  <si>
    <t>FYZIATRICKO-REHABILITAČNÉ ODDELENIE</t>
  </si>
  <si>
    <t>UROLOGICKÉ ODDELENIE</t>
  </si>
  <si>
    <t>Druh lôžok</t>
  </si>
  <si>
    <t>štandardné lôžka</t>
  </si>
  <si>
    <t>JIS</t>
  </si>
  <si>
    <t>plán</t>
  </si>
  <si>
    <t>Plán- po rekonštrukcii</t>
  </si>
  <si>
    <t>METODOLÓGIA</t>
  </si>
  <si>
    <t>* Pre scénare Status quo a Base Case sú uvedené rovnaké údaje nakoľko investície predpokladané v Base Case sa týkajú výlučne infraštruktúry, ktorá nebude mať vplyv na počet hospitalizačných prípadov, ani na počet prípadov JZS.</t>
  </si>
  <si>
    <t xml:space="preserve">*V roku 2023 predpokladáme cca 13% nárast v počte hospitalizačných prípadov v dôsledku rastu výkonov "bielej medicíny", ktoré sa v dôsledku pandémie COVID 2019 nevykonávali, resp. vykonávali v obmedzenom rozsahu, a taktiež v dôsledku zvýšeného počtu turistov v oblasti, ktorých počty klesli rovnako z dôvodu pandémie. </t>
  </si>
  <si>
    <t xml:space="preserve">* Svoju činnosť obnovia fyziatricko-rehabilitačné oddelenie a oddelenie dlhodobo chorých, ktoré svoju činnosť v dôsledku pandémie nevykonávali vôbec. </t>
  </si>
  <si>
    <t xml:space="preserve">*Model zohľadňuje demografické údaje - najmä klesajúci počet obyvateľov. Očakávame, že znížená pôrodnosť sa výraznejšie neprejaví, naopak, v r. 2022 ukončená rekonštrukcia gynekologicko-pôrodnického oddelenia, zabezpečí dopyt po ZS v oblasti gynekologie a pôrodníctva. Migrácia nebude mať na dopyt po ZS výrazný vplyv. </t>
  </si>
  <si>
    <t xml:space="preserve">* Rekonštrukcia nebude mať výrazný vplyv na JZS, ani v období rekoštrukcie, ani po jej ukončení. </t>
  </si>
  <si>
    <t xml:space="preserve">* Kapacitný model bol zostavený na základe historických dát Nemocnica Poprad, a.s. za roky 2015 – 2019. Roky 2020-2021 poznačené pandémiou COVID 19 sú v modeli uvedené, ale nie sú započítané vo výšledných parametroch. </t>
  </si>
  <si>
    <t xml:space="preserve">1. </t>
  </si>
  <si>
    <t xml:space="preserve">2. </t>
  </si>
  <si>
    <t>3.</t>
  </si>
  <si>
    <t>4.</t>
  </si>
  <si>
    <t>5.</t>
  </si>
  <si>
    <t>6.</t>
  </si>
  <si>
    <t>7.</t>
  </si>
  <si>
    <t>8.</t>
  </si>
  <si>
    <t xml:space="preserve">* Stúpajúci trend bude mať počet pôrodov - z dôvodu rekoštrukcie GPO boli pacientky presúvané do Spišškej Novej Vsi, očakávame opätovné zvýšenie dopytu. </t>
  </si>
  <si>
    <t xml:space="preserve">* OSN: Nemocnica Poprad, a.s. je zaradená do nemocnice II. úrovne. Nemocnicou III. úrovne má byť v PSK iba nemocnica J.A. Reimana v Prešove. Vzhľadom na to, a na skutočnosť, že okolité nemocnice (Levoča, Kežmarok, Spišská Nová Ves) majú byť nemocnicami I. úrovne, očakávame zachovanie dopytu po ZS. </t>
  </si>
  <si>
    <t>63,35% *</t>
  </si>
  <si>
    <t xml:space="preserve">* Využitie lôžok, ktoré nemocnica využiva na vykonanie zákrokov JZS , ani ktoré je nemocnica povinná poskytnúť sprevádzajúcim osobám, sa v zmysle metodiky NCZI nezapočítavajú do celkového využitia lôžok, nemocnica ich však musí mať k dispozícii. </t>
  </si>
  <si>
    <t>akútne lôžka</t>
  </si>
  <si>
    <t>lôžka jednodňové (JZS)</t>
  </si>
  <si>
    <t>stacionár</t>
  </si>
  <si>
    <t>súčasný stav                 reálny počet/              PSK</t>
  </si>
  <si>
    <t>HP</t>
  </si>
  <si>
    <t>Poprad, apríl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</si>
</sst>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#,##0_ ;[Red]\-#,##0\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name val="Arial CE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Arial Narrow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rgb="FFFF0000"/>
      <name val="Arial Narrow"/>
      <family val="2"/>
      <charset val="238"/>
    </font>
    <font>
      <sz val="1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theme="9" tint="0.79998168889431442"/>
      </patternFill>
    </fill>
    <fill>
      <patternFill patternType="solid">
        <fgColor theme="8" tint="0.79998168889431442"/>
        <bgColor theme="9" tint="0.39997558519241921"/>
      </patternFill>
    </fill>
    <fill>
      <patternFill patternType="solid">
        <fgColor rgb="FFDBF2DA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24" fillId="0" borderId="0"/>
    <xf numFmtId="9" fontId="24" fillId="0" borderId="0" applyFont="0" applyFill="0" applyBorder="0" applyAlignment="0" applyProtection="0"/>
  </cellStyleXfs>
  <cellXfs count="358">
    <xf numFmtId="0" fontId="0" fillId="0" borderId="0" xfId="0"/>
    <xf numFmtId="0" fontId="5" fillId="2" borderId="0" xfId="0" applyFont="1" applyFill="1"/>
    <xf numFmtId="0" fontId="5" fillId="0" borderId="0" xfId="0" applyFont="1" applyFill="1"/>
    <xf numFmtId="0" fontId="5" fillId="0" borderId="0" xfId="0" applyFont="1"/>
    <xf numFmtId="0" fontId="7" fillId="0" borderId="0" xfId="2" applyFont="1"/>
    <xf numFmtId="0" fontId="8" fillId="0" borderId="0" xfId="2" applyFont="1"/>
    <xf numFmtId="10" fontId="5" fillId="0" borderId="0" xfId="0" applyNumberFormat="1" applyFont="1"/>
    <xf numFmtId="0" fontId="10" fillId="0" borderId="7" xfId="2" applyFont="1" applyBorder="1"/>
    <xf numFmtId="0" fontId="10" fillId="0" borderId="10" xfId="2" applyFont="1" applyBorder="1"/>
    <xf numFmtId="3" fontId="8" fillId="0" borderId="0" xfId="0" applyNumberFormat="1" applyFont="1" applyFill="1" applyBorder="1" applyAlignment="1">
      <alignment horizontal="center"/>
    </xf>
    <xf numFmtId="0" fontId="10" fillId="0" borderId="16" xfId="2" applyFont="1" applyFill="1" applyBorder="1"/>
    <xf numFmtId="0" fontId="10" fillId="0" borderId="14" xfId="2" applyFont="1" applyFill="1" applyBorder="1"/>
    <xf numFmtId="3" fontId="8" fillId="0" borderId="21" xfId="0" applyNumberFormat="1" applyFont="1" applyFill="1" applyBorder="1" applyAlignment="1">
      <alignment horizontal="center"/>
    </xf>
    <xf numFmtId="0" fontId="10" fillId="0" borderId="10" xfId="2" applyFont="1" applyFill="1" applyBorder="1"/>
    <xf numFmtId="0" fontId="10" fillId="0" borderId="25" xfId="2" applyFont="1" applyFill="1" applyBorder="1"/>
    <xf numFmtId="0" fontId="10" fillId="3" borderId="1" xfId="2" applyFont="1" applyFill="1" applyBorder="1" applyAlignment="1">
      <alignment horizontal="left"/>
    </xf>
    <xf numFmtId="0" fontId="8" fillId="3" borderId="3" xfId="0" applyFont="1" applyFill="1" applyBorder="1" applyAlignment="1"/>
    <xf numFmtId="0" fontId="10" fillId="3" borderId="4" xfId="2" applyFont="1" applyFill="1" applyBorder="1"/>
    <xf numFmtId="0" fontId="12" fillId="0" borderId="0" xfId="2" applyFont="1" applyBorder="1"/>
    <xf numFmtId="0" fontId="5" fillId="0" borderId="0" xfId="0" applyFont="1" applyBorder="1"/>
    <xf numFmtId="10" fontId="8" fillId="0" borderId="0" xfId="0" applyNumberFormat="1" applyFont="1" applyFill="1" applyBorder="1"/>
    <xf numFmtId="9" fontId="8" fillId="0" borderId="0" xfId="0" applyNumberFormat="1" applyFont="1" applyFill="1" applyBorder="1"/>
    <xf numFmtId="0" fontId="13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18" xfId="0" applyFont="1" applyFill="1" applyBorder="1"/>
    <xf numFmtId="0" fontId="5" fillId="0" borderId="31" xfId="0" applyFont="1" applyFill="1" applyBorder="1"/>
    <xf numFmtId="9" fontId="8" fillId="0" borderId="32" xfId="0" applyNumberFormat="1" applyFont="1" applyFill="1" applyBorder="1"/>
    <xf numFmtId="10" fontId="8" fillId="0" borderId="32" xfId="0" applyNumberFormat="1" applyFont="1" applyFill="1" applyBorder="1"/>
    <xf numFmtId="0" fontId="11" fillId="0" borderId="15" xfId="2" applyFont="1" applyBorder="1"/>
    <xf numFmtId="0" fontId="12" fillId="0" borderId="15" xfId="2" applyFont="1" applyBorder="1"/>
    <xf numFmtId="0" fontId="5" fillId="0" borderId="15" xfId="0" applyFont="1" applyBorder="1"/>
    <xf numFmtId="164" fontId="10" fillId="0" borderId="15" xfId="1" applyNumberFormat="1" applyFont="1" applyFill="1" applyBorder="1"/>
    <xf numFmtId="164" fontId="10" fillId="0" borderId="33" xfId="1" applyNumberFormat="1" applyFont="1" applyFill="1" applyBorder="1"/>
    <xf numFmtId="0" fontId="13" fillId="0" borderId="20" xfId="0" applyFont="1" applyFill="1" applyBorder="1" applyAlignment="1">
      <alignment horizontal="left" vertical="center"/>
    </xf>
    <xf numFmtId="0" fontId="12" fillId="0" borderId="34" xfId="2" applyFont="1" applyBorder="1"/>
    <xf numFmtId="0" fontId="11" fillId="0" borderId="22" xfId="2" applyFont="1" applyBorder="1"/>
    <xf numFmtId="0" fontId="5" fillId="3" borderId="0" xfId="0" applyFont="1" applyFill="1"/>
    <xf numFmtId="0" fontId="9" fillId="4" borderId="5" xfId="0" applyFont="1" applyFill="1" applyBorder="1"/>
    <xf numFmtId="0" fontId="9" fillId="4" borderId="6" xfId="0" applyFont="1" applyFill="1" applyBorder="1"/>
    <xf numFmtId="0" fontId="9" fillId="4" borderId="0" xfId="0" applyFont="1" applyFill="1"/>
    <xf numFmtId="0" fontId="14" fillId="0" borderId="0" xfId="2" applyFont="1"/>
    <xf numFmtId="0" fontId="3" fillId="3" borderId="0" xfId="0" applyFont="1" applyFill="1" applyAlignment="1">
      <alignment horizontal="left" vertical="center"/>
    </xf>
    <xf numFmtId="164" fontId="5" fillId="0" borderId="0" xfId="1" applyNumberFormat="1" applyFont="1" applyBorder="1"/>
    <xf numFmtId="3" fontId="5" fillId="0" borderId="0" xfId="0" applyNumberFormat="1" applyFont="1"/>
    <xf numFmtId="3" fontId="8" fillId="0" borderId="1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3" fontId="10" fillId="3" borderId="5" xfId="2" applyNumberFormat="1" applyFont="1" applyFill="1" applyBorder="1" applyAlignment="1">
      <alignment horizontal="right"/>
    </xf>
    <xf numFmtId="3" fontId="10" fillId="3" borderId="6" xfId="2" applyNumberFormat="1" applyFont="1" applyFill="1" applyBorder="1" applyAlignment="1">
      <alignment horizontal="right"/>
    </xf>
    <xf numFmtId="3" fontId="10" fillId="3" borderId="28" xfId="2" applyNumberFormat="1" applyFont="1" applyFill="1" applyBorder="1" applyAlignment="1">
      <alignment horizontal="right"/>
    </xf>
    <xf numFmtId="3" fontId="10" fillId="3" borderId="29" xfId="2" applyNumberFormat="1" applyFont="1" applyFill="1" applyBorder="1" applyAlignment="1">
      <alignment horizontal="right"/>
    </xf>
    <xf numFmtId="3" fontId="8" fillId="0" borderId="0" xfId="2" applyNumberFormat="1" applyFont="1" applyFill="1" applyAlignment="1">
      <alignment horizontal="center"/>
    </xf>
    <xf numFmtId="0" fontId="7" fillId="3" borderId="1" xfId="2" applyFont="1" applyFill="1" applyBorder="1" applyAlignment="1">
      <alignment horizontal="left"/>
    </xf>
    <xf numFmtId="0" fontId="8" fillId="3" borderId="10" xfId="0" applyFont="1" applyFill="1" applyBorder="1" applyAlignment="1"/>
    <xf numFmtId="0" fontId="10" fillId="0" borderId="35" xfId="2" applyFont="1" applyBorder="1"/>
    <xf numFmtId="3" fontId="8" fillId="0" borderId="13" xfId="0" applyNumberFormat="1" applyFont="1" applyBorder="1"/>
    <xf numFmtId="3" fontId="8" fillId="0" borderId="15" xfId="0" applyNumberFormat="1" applyFont="1" applyBorder="1"/>
    <xf numFmtId="0" fontId="10" fillId="0" borderId="25" xfId="2" applyFont="1" applyBorder="1"/>
    <xf numFmtId="3" fontId="8" fillId="0" borderId="17" xfId="0" applyNumberFormat="1" applyFont="1" applyBorder="1"/>
    <xf numFmtId="3" fontId="8" fillId="0" borderId="18" xfId="0" applyNumberFormat="1" applyFont="1" applyBorder="1"/>
    <xf numFmtId="3" fontId="8" fillId="0" borderId="23" xfId="0" applyNumberFormat="1" applyFont="1" applyBorder="1"/>
    <xf numFmtId="3" fontId="8" fillId="0" borderId="24" xfId="0" applyNumberFormat="1" applyFont="1" applyBorder="1"/>
    <xf numFmtId="0" fontId="10" fillId="0" borderId="27" xfId="2" applyFont="1" applyFill="1" applyBorder="1"/>
    <xf numFmtId="0" fontId="10" fillId="3" borderId="4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right" vertical="center"/>
    </xf>
    <xf numFmtId="49" fontId="10" fillId="3" borderId="4" xfId="2" applyNumberFormat="1" applyFont="1" applyFill="1" applyBorder="1" applyAlignment="1">
      <alignment horizontal="right" vertical="center" wrapText="1"/>
    </xf>
    <xf numFmtId="49" fontId="10" fillId="3" borderId="5" xfId="2" applyNumberFormat="1" applyFont="1" applyFill="1" applyBorder="1" applyAlignment="1">
      <alignment horizontal="right" vertical="center" wrapText="1"/>
    </xf>
    <xf numFmtId="49" fontId="10" fillId="3" borderId="1" xfId="2" applyNumberFormat="1" applyFont="1" applyFill="1" applyBorder="1" applyAlignment="1">
      <alignment horizontal="right" vertical="center" wrapText="1"/>
    </xf>
    <xf numFmtId="49" fontId="10" fillId="3" borderId="6" xfId="2" applyNumberFormat="1" applyFont="1" applyFill="1" applyBorder="1" applyAlignment="1">
      <alignment horizontal="right" vertical="center" wrapText="1"/>
    </xf>
    <xf numFmtId="3" fontId="9" fillId="4" borderId="6" xfId="0" applyNumberFormat="1" applyFont="1" applyFill="1" applyBorder="1" applyAlignment="1">
      <alignment horizontal="right"/>
    </xf>
    <xf numFmtId="3" fontId="9" fillId="4" borderId="5" xfId="0" applyNumberFormat="1" applyFont="1" applyFill="1" applyBorder="1" applyAlignment="1">
      <alignment horizontal="right"/>
    </xf>
    <xf numFmtId="3" fontId="9" fillId="4" borderId="28" xfId="0" applyNumberFormat="1" applyFont="1" applyFill="1" applyBorder="1" applyAlignment="1">
      <alignment horizontal="right"/>
    </xf>
    <xf numFmtId="164" fontId="9" fillId="0" borderId="0" xfId="1" applyNumberFormat="1" applyFont="1" applyBorder="1"/>
    <xf numFmtId="9" fontId="9" fillId="0" borderId="0" xfId="0" applyNumberFormat="1" applyFont="1" applyBorder="1"/>
    <xf numFmtId="0" fontId="9" fillId="0" borderId="0" xfId="0" applyFont="1" applyBorder="1"/>
    <xf numFmtId="10" fontId="9" fillId="0" borderId="0" xfId="0" applyNumberFormat="1" applyFont="1" applyBorder="1"/>
    <xf numFmtId="3" fontId="9" fillId="0" borderId="7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3" fontId="9" fillId="0" borderId="25" xfId="0" applyNumberFormat="1" applyFont="1" applyBorder="1" applyAlignment="1">
      <alignment horizontal="right"/>
    </xf>
    <xf numFmtId="3" fontId="9" fillId="0" borderId="37" xfId="0" applyNumberFormat="1" applyFont="1" applyBorder="1" applyAlignment="1">
      <alignment horizontal="right"/>
    </xf>
    <xf numFmtId="10" fontId="17" fillId="0" borderId="0" xfId="1" applyNumberFormat="1" applyFont="1"/>
    <xf numFmtId="0" fontId="11" fillId="3" borderId="37" xfId="2" applyFont="1" applyFill="1" applyBorder="1"/>
    <xf numFmtId="3" fontId="11" fillId="3" borderId="28" xfId="2" applyNumberFormat="1" applyFont="1" applyFill="1" applyBorder="1" applyAlignment="1">
      <alignment horizontal="center"/>
    </xf>
    <xf numFmtId="3" fontId="8" fillId="0" borderId="7" xfId="2" applyNumberFormat="1" applyFont="1" applyBorder="1"/>
    <xf numFmtId="0" fontId="8" fillId="0" borderId="10" xfId="2" applyFont="1" applyBorder="1"/>
    <xf numFmtId="0" fontId="8" fillId="0" borderId="16" xfId="2" applyFont="1" applyFill="1" applyBorder="1"/>
    <xf numFmtId="0" fontId="8" fillId="0" borderId="14" xfId="2" applyFont="1" applyFill="1" applyBorder="1"/>
    <xf numFmtId="0" fontId="8" fillId="0" borderId="10" xfId="2" applyFont="1" applyFill="1" applyBorder="1"/>
    <xf numFmtId="0" fontId="8" fillId="0" borderId="25" xfId="2" applyFont="1" applyFill="1" applyBorder="1"/>
    <xf numFmtId="0" fontId="8" fillId="0" borderId="16" xfId="2" applyFont="1" applyFill="1" applyBorder="1" applyAlignment="1">
      <alignment horizontal="right"/>
    </xf>
    <xf numFmtId="3" fontId="10" fillId="3" borderId="4" xfId="2" applyNumberFormat="1" applyFont="1" applyFill="1" applyBorder="1"/>
    <xf numFmtId="0" fontId="8" fillId="0" borderId="0" xfId="2" applyFont="1" applyFill="1"/>
    <xf numFmtId="3" fontId="8" fillId="0" borderId="3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49" fontId="10" fillId="3" borderId="28" xfId="2" applyNumberFormat="1" applyFont="1" applyFill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30" xfId="0" applyFont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11" fillId="3" borderId="5" xfId="2" applyNumberFormat="1" applyFont="1" applyFill="1" applyBorder="1" applyAlignment="1">
      <alignment horizontal="right"/>
    </xf>
    <xf numFmtId="3" fontId="11" fillId="3" borderId="6" xfId="2" applyNumberFormat="1" applyFont="1" applyFill="1" applyBorder="1" applyAlignment="1">
      <alignment horizontal="right"/>
    </xf>
    <xf numFmtId="3" fontId="11" fillId="3" borderId="28" xfId="2" applyNumberFormat="1" applyFont="1" applyFill="1" applyBorder="1" applyAlignment="1">
      <alignment horizontal="right"/>
    </xf>
    <xf numFmtId="0" fontId="0" fillId="3" borderId="0" xfId="0" applyFill="1"/>
    <xf numFmtId="0" fontId="10" fillId="3" borderId="3" xfId="0" applyFont="1" applyFill="1" applyBorder="1" applyAlignment="1">
      <alignment horizontal="right" vertical="center"/>
    </xf>
    <xf numFmtId="0" fontId="10" fillId="3" borderId="37" xfId="0" applyFont="1" applyFill="1" applyBorder="1" applyAlignment="1">
      <alignment horizontal="right" vertical="center"/>
    </xf>
    <xf numFmtId="49" fontId="10" fillId="3" borderId="37" xfId="2" applyNumberFormat="1" applyFont="1" applyFill="1" applyBorder="1" applyAlignment="1">
      <alignment horizontal="right" vertical="center" wrapText="1"/>
    </xf>
    <xf numFmtId="49" fontId="10" fillId="3" borderId="3" xfId="2" applyNumberFormat="1" applyFont="1" applyFill="1" applyBorder="1" applyAlignment="1">
      <alignment horizontal="right" vertical="center" wrapText="1"/>
    </xf>
    <xf numFmtId="49" fontId="10" fillId="3" borderId="12" xfId="2" applyNumberFormat="1" applyFont="1" applyFill="1" applyBorder="1" applyAlignment="1">
      <alignment horizontal="right" vertical="center" wrapText="1"/>
    </xf>
    <xf numFmtId="49" fontId="10" fillId="3" borderId="10" xfId="2" applyNumberFormat="1" applyFont="1" applyFill="1" applyBorder="1" applyAlignment="1">
      <alignment horizontal="right" vertical="center" wrapText="1"/>
    </xf>
    <xf numFmtId="0" fontId="16" fillId="3" borderId="0" xfId="0" applyFont="1" applyFill="1" applyAlignment="1">
      <alignment horizontal="right" vertical="center"/>
    </xf>
    <xf numFmtId="0" fontId="18" fillId="3" borderId="0" xfId="0" applyFont="1" applyFill="1"/>
    <xf numFmtId="0" fontId="3" fillId="0" borderId="0" xfId="0" applyFont="1" applyFill="1" applyAlignment="1">
      <alignment horizontal="left" vertical="center"/>
    </xf>
    <xf numFmtId="0" fontId="0" fillId="0" borderId="0" xfId="0" applyFill="1"/>
    <xf numFmtId="164" fontId="14" fillId="0" borderId="0" xfId="1" applyNumberFormat="1" applyFont="1"/>
    <xf numFmtId="9" fontId="14" fillId="0" borderId="0" xfId="1" applyFont="1"/>
    <xf numFmtId="10" fontId="14" fillId="0" borderId="0" xfId="0" applyNumberFormat="1" applyFont="1" applyFill="1"/>
    <xf numFmtId="164" fontId="15" fillId="0" borderId="0" xfId="1" applyNumberFormat="1" applyFont="1" applyFill="1"/>
    <xf numFmtId="0" fontId="13" fillId="0" borderId="0" xfId="0" applyFont="1" applyFill="1" applyAlignment="1">
      <alignment horizontal="left" vertical="center"/>
    </xf>
    <xf numFmtId="0" fontId="12" fillId="0" borderId="0" xfId="2" applyFont="1"/>
    <xf numFmtId="0" fontId="11" fillId="0" borderId="0" xfId="2" applyFont="1"/>
    <xf numFmtId="0" fontId="0" fillId="0" borderId="28" xfId="0" applyBorder="1"/>
    <xf numFmtId="3" fontId="10" fillId="6" borderId="28" xfId="2" applyNumberFormat="1" applyFont="1" applyFill="1" applyBorder="1" applyAlignment="1">
      <alignment horizontal="center"/>
    </xf>
    <xf numFmtId="0" fontId="10" fillId="3" borderId="5" xfId="2" applyFont="1" applyFill="1" applyBorder="1"/>
    <xf numFmtId="0" fontId="0" fillId="0" borderId="0" xfId="0" applyBorder="1"/>
    <xf numFmtId="0" fontId="0" fillId="0" borderId="0" xfId="0" applyAlignment="1"/>
    <xf numFmtId="0" fontId="9" fillId="0" borderId="1" xfId="0" applyFont="1" applyBorder="1"/>
    <xf numFmtId="0" fontId="9" fillId="0" borderId="12" xfId="0" applyFont="1" applyBorder="1"/>
    <xf numFmtId="0" fontId="9" fillId="0" borderId="11" xfId="0" applyFont="1" applyBorder="1"/>
    <xf numFmtId="0" fontId="9" fillId="0" borderId="3" xfId="0" applyFont="1" applyBorder="1"/>
    <xf numFmtId="0" fontId="9" fillId="0" borderId="29" xfId="0" applyFont="1" applyBorder="1"/>
    <xf numFmtId="0" fontId="4" fillId="0" borderId="5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10" fontId="9" fillId="0" borderId="12" xfId="0" applyNumberFormat="1" applyFont="1" applyBorder="1"/>
    <xf numFmtId="10" fontId="9" fillId="0" borderId="29" xfId="0" applyNumberFormat="1" applyFont="1" applyBorder="1"/>
    <xf numFmtId="0" fontId="4" fillId="0" borderId="0" xfId="0" applyFont="1" applyFill="1" applyAlignment="1"/>
    <xf numFmtId="49" fontId="10" fillId="0" borderId="0" xfId="2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3" fontId="10" fillId="0" borderId="0" xfId="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9" fillId="0" borderId="47" xfId="0" applyFont="1" applyBorder="1" applyAlignment="1">
      <alignment horizontal="center"/>
    </xf>
    <xf numFmtId="3" fontId="10" fillId="6" borderId="2" xfId="2" applyNumberFormat="1" applyFont="1" applyFill="1" applyBorder="1" applyAlignment="1">
      <alignment horizontal="center"/>
    </xf>
    <xf numFmtId="0" fontId="19" fillId="0" borderId="4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19" fillId="0" borderId="3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 wrapText="1"/>
    </xf>
    <xf numFmtId="10" fontId="19" fillId="8" borderId="48" xfId="0" applyNumberFormat="1" applyFont="1" applyFill="1" applyBorder="1" applyAlignment="1">
      <alignment horizontal="center" vertical="center" wrapText="1"/>
    </xf>
    <xf numFmtId="10" fontId="19" fillId="9" borderId="48" xfId="0" applyNumberFormat="1" applyFont="1" applyFill="1" applyBorder="1" applyAlignment="1">
      <alignment horizontal="center" vertical="center" wrapText="1"/>
    </xf>
    <xf numFmtId="10" fontId="19" fillId="10" borderId="48" xfId="0" applyNumberFormat="1" applyFont="1" applyFill="1" applyBorder="1" applyAlignment="1">
      <alignment horizontal="center" vertical="center" wrapText="1"/>
    </xf>
    <xf numFmtId="10" fontId="19" fillId="0" borderId="0" xfId="0" applyNumberFormat="1" applyFont="1" applyFill="1" applyBorder="1" applyAlignment="1">
      <alignment horizontal="center" vertical="center" wrapText="1"/>
    </xf>
    <xf numFmtId="10" fontId="20" fillId="0" borderId="0" xfId="0" applyNumberFormat="1" applyFont="1" applyFill="1" applyBorder="1" applyAlignment="1">
      <alignment horizontal="center" vertical="center" wrapText="1"/>
    </xf>
    <xf numFmtId="4" fontId="20" fillId="3" borderId="5" xfId="0" applyNumberFormat="1" applyFont="1" applyFill="1" applyBorder="1" applyAlignment="1">
      <alignment horizontal="center" vertical="center" wrapText="1"/>
    </xf>
    <xf numFmtId="10" fontId="20" fillId="3" borderId="5" xfId="0" applyNumberFormat="1" applyFont="1" applyFill="1" applyBorder="1" applyAlignment="1">
      <alignment horizontal="center" vertical="center" wrapText="1"/>
    </xf>
    <xf numFmtId="10" fontId="19" fillId="11" borderId="48" xfId="0" applyNumberFormat="1" applyFont="1" applyFill="1" applyBorder="1" applyAlignment="1">
      <alignment horizontal="center" vertical="center" wrapText="1"/>
    </xf>
    <xf numFmtId="10" fontId="19" fillId="8" borderId="49" xfId="0" applyNumberFormat="1" applyFont="1" applyFill="1" applyBorder="1" applyAlignment="1">
      <alignment horizontal="center" vertical="center" wrapText="1"/>
    </xf>
    <xf numFmtId="0" fontId="0" fillId="10" borderId="0" xfId="0" applyFill="1"/>
    <xf numFmtId="0" fontId="0" fillId="8" borderId="0" xfId="0" applyFill="1"/>
    <xf numFmtId="0" fontId="0" fillId="11" borderId="0" xfId="0" applyFill="1"/>
    <xf numFmtId="0" fontId="9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10" fillId="0" borderId="7" xfId="2" applyFont="1" applyBorder="1" applyAlignment="1"/>
    <xf numFmtId="0" fontId="10" fillId="0" borderId="9" xfId="2" applyFont="1" applyBorder="1" applyAlignment="1"/>
    <xf numFmtId="0" fontId="10" fillId="0" borderId="10" xfId="2" applyFont="1" applyBorder="1" applyAlignment="1"/>
    <xf numFmtId="0" fontId="10" fillId="0" borderId="12" xfId="2" applyFont="1" applyBorder="1" applyAlignment="1"/>
    <xf numFmtId="0" fontId="10" fillId="0" borderId="14" xfId="2" applyFont="1" applyBorder="1" applyAlignment="1"/>
    <xf numFmtId="0" fontId="10" fillId="0" borderId="21" xfId="2" applyFont="1" applyBorder="1" applyAlignment="1"/>
    <xf numFmtId="0" fontId="10" fillId="0" borderId="16" xfId="2" applyFont="1" applyFill="1" applyBorder="1" applyAlignment="1"/>
    <xf numFmtId="0" fontId="10" fillId="0" borderId="19" xfId="2" applyFont="1" applyFill="1" applyBorder="1" applyAlignment="1"/>
    <xf numFmtId="0" fontId="10" fillId="0" borderId="14" xfId="2" applyFont="1" applyFill="1" applyBorder="1" applyAlignment="1"/>
    <xf numFmtId="0" fontId="10" fillId="0" borderId="21" xfId="2" applyFont="1" applyFill="1" applyBorder="1" applyAlignment="1"/>
    <xf numFmtId="0" fontId="10" fillId="0" borderId="10" xfId="2" applyFont="1" applyFill="1" applyBorder="1" applyAlignment="1"/>
    <xf numFmtId="0" fontId="10" fillId="0" borderId="12" xfId="2" applyFont="1" applyFill="1" applyBorder="1" applyAlignment="1"/>
    <xf numFmtId="0" fontId="10" fillId="0" borderId="25" xfId="2" applyFont="1" applyFill="1" applyBorder="1" applyAlignment="1"/>
    <xf numFmtId="0" fontId="10" fillId="0" borderId="26" xfId="2" applyFont="1" applyFill="1" applyBorder="1" applyAlignment="1"/>
    <xf numFmtId="0" fontId="19" fillId="0" borderId="0" xfId="0" applyFont="1" applyFill="1" applyBorder="1" applyAlignment="1">
      <alignment horizontal="center" vertical="center" wrapText="1"/>
    </xf>
    <xf numFmtId="0" fontId="10" fillId="0" borderId="0" xfId="2" applyFont="1" applyFill="1" applyBorder="1"/>
    <xf numFmtId="4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21" fillId="0" borderId="0" xfId="0" applyFont="1" applyBorder="1"/>
    <xf numFmtId="0" fontId="22" fillId="0" borderId="0" xfId="0" applyFont="1" applyBorder="1"/>
    <xf numFmtId="0" fontId="3" fillId="0" borderId="0" xfId="0" applyFont="1" applyFill="1" applyAlignment="1">
      <alignment vertical="center"/>
    </xf>
    <xf numFmtId="2" fontId="9" fillId="0" borderId="12" xfId="0" applyNumberFormat="1" applyFont="1" applyBorder="1"/>
    <xf numFmtId="2" fontId="9" fillId="0" borderId="29" xfId="0" applyNumberFormat="1" applyFont="1" applyBorder="1"/>
    <xf numFmtId="0" fontId="4" fillId="3" borderId="28" xfId="0" applyFont="1" applyFill="1" applyBorder="1" applyAlignment="1">
      <alignment horizontal="center" vertical="center"/>
    </xf>
    <xf numFmtId="0" fontId="5" fillId="0" borderId="22" xfId="0" applyFont="1" applyBorder="1"/>
    <xf numFmtId="0" fontId="5" fillId="0" borderId="41" xfId="0" applyFont="1" applyBorder="1"/>
    <xf numFmtId="0" fontId="5" fillId="0" borderId="38" xfId="0" applyFont="1" applyBorder="1"/>
    <xf numFmtId="0" fontId="5" fillId="0" borderId="42" xfId="0" applyFont="1" applyBorder="1"/>
    <xf numFmtId="0" fontId="5" fillId="0" borderId="20" xfId="0" applyFont="1" applyBorder="1"/>
    <xf numFmtId="0" fontId="5" fillId="0" borderId="40" xfId="0" applyFont="1" applyBorder="1"/>
    <xf numFmtId="0" fontId="4" fillId="12" borderId="50" xfId="0" applyFont="1" applyFill="1" applyBorder="1" applyAlignment="1">
      <alignment wrapText="1"/>
    </xf>
    <xf numFmtId="0" fontId="4" fillId="12" borderId="46" xfId="0" applyFont="1" applyFill="1" applyBorder="1" applyAlignment="1">
      <alignment horizontal="left" vertical="center"/>
    </xf>
    <xf numFmtId="0" fontId="4" fillId="12" borderId="5" xfId="0" applyFont="1" applyFill="1" applyBorder="1" applyAlignment="1">
      <alignment vertical="center"/>
    </xf>
    <xf numFmtId="165" fontId="5" fillId="13" borderId="13" xfId="0" applyNumberFormat="1" applyFont="1" applyFill="1" applyBorder="1"/>
    <xf numFmtId="165" fontId="5" fillId="13" borderId="23" xfId="0" applyNumberFormat="1" applyFont="1" applyFill="1" applyBorder="1"/>
    <xf numFmtId="165" fontId="5" fillId="13" borderId="17" xfId="0" applyNumberFormat="1" applyFont="1" applyFill="1" applyBorder="1"/>
    <xf numFmtId="0" fontId="4" fillId="14" borderId="46" xfId="0" applyFont="1" applyFill="1" applyBorder="1"/>
    <xf numFmtId="0" fontId="4" fillId="14" borderId="50" xfId="0" applyFont="1" applyFill="1" applyBorder="1"/>
    <xf numFmtId="0" fontId="4" fillId="14" borderId="51" xfId="0" applyFont="1" applyFill="1" applyBorder="1"/>
    <xf numFmtId="165" fontId="5" fillId="14" borderId="5" xfId="0" applyNumberFormat="1" applyFont="1" applyFill="1" applyBorder="1"/>
    <xf numFmtId="0" fontId="4" fillId="12" borderId="50" xfId="0" applyFont="1" applyFill="1" applyBorder="1" applyAlignment="1">
      <alignment horizontal="left" wrapText="1"/>
    </xf>
    <xf numFmtId="0" fontId="4" fillId="12" borderId="51" xfId="0" applyFont="1" applyFill="1" applyBorder="1" applyAlignment="1">
      <alignment horizontal="left" vertical="center" wrapText="1"/>
    </xf>
    <xf numFmtId="0" fontId="4" fillId="7" borderId="44" xfId="0" applyFont="1" applyFill="1" applyBorder="1"/>
    <xf numFmtId="0" fontId="4" fillId="7" borderId="45" xfId="0" applyFont="1" applyFill="1" applyBorder="1"/>
    <xf numFmtId="0" fontId="4" fillId="7" borderId="43" xfId="0" applyFont="1" applyFill="1" applyBorder="1"/>
    <xf numFmtId="0" fontId="4" fillId="3" borderId="4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5" fillId="0" borderId="28" xfId="0" applyFont="1" applyFill="1" applyBorder="1" applyAlignment="1"/>
    <xf numFmtId="0" fontId="5" fillId="0" borderId="5" xfId="0" applyFont="1" applyFill="1" applyBorder="1" applyAlignment="1"/>
    <xf numFmtId="0" fontId="16" fillId="0" borderId="4" xfId="0" applyFont="1" applyBorder="1"/>
    <xf numFmtId="0" fontId="16" fillId="0" borderId="0" xfId="0" applyFont="1" applyFill="1" applyAlignment="1">
      <alignment horizontal="right" vertical="center"/>
    </xf>
    <xf numFmtId="0" fontId="10" fillId="0" borderId="14" xfId="2" applyFont="1" applyFill="1" applyBorder="1" applyAlignment="1"/>
    <xf numFmtId="0" fontId="10" fillId="0" borderId="21" xfId="2" applyFont="1" applyFill="1" applyBorder="1" applyAlignment="1"/>
    <xf numFmtId="0" fontId="10" fillId="0" borderId="16" xfId="2" applyFont="1" applyFill="1" applyBorder="1" applyAlignment="1"/>
    <xf numFmtId="0" fontId="10" fillId="0" borderId="19" xfId="2" applyFont="1" applyFill="1" applyBorder="1" applyAlignment="1"/>
    <xf numFmtId="0" fontId="10" fillId="0" borderId="25" xfId="2" applyFont="1" applyFill="1" applyBorder="1" applyAlignment="1"/>
    <xf numFmtId="0" fontId="10" fillId="0" borderId="26" xfId="2" applyFont="1" applyFill="1" applyBorder="1" applyAlignment="1"/>
    <xf numFmtId="0" fontId="5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5" fillId="0" borderId="38" xfId="0" applyFont="1" applyBorder="1" applyAlignment="1">
      <alignment horizontal="left" vertical="top"/>
    </xf>
    <xf numFmtId="0" fontId="5" fillId="0" borderId="38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16" fillId="0" borderId="5" xfId="0" applyFont="1" applyBorder="1"/>
    <xf numFmtId="3" fontId="10" fillId="3" borderId="4" xfId="2" applyNumberFormat="1" applyFont="1" applyFill="1" applyBorder="1" applyAlignment="1">
      <alignment horizontal="right"/>
    </xf>
    <xf numFmtId="0" fontId="18" fillId="0" borderId="0" xfId="0" applyFont="1" applyFill="1"/>
    <xf numFmtId="3" fontId="8" fillId="0" borderId="38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49" fontId="10" fillId="3" borderId="7" xfId="2" applyNumberFormat="1" applyFont="1" applyFill="1" applyBorder="1" applyAlignment="1">
      <alignment horizontal="right" vertical="center" wrapText="1"/>
    </xf>
    <xf numFmtId="3" fontId="8" fillId="0" borderId="9" xfId="0" applyNumberFormat="1" applyFont="1" applyFill="1" applyBorder="1" applyAlignment="1">
      <alignment horizontal="right"/>
    </xf>
    <xf numFmtId="3" fontId="10" fillId="3" borderId="29" xfId="2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3" fontId="8" fillId="0" borderId="38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 horizontal="right"/>
    </xf>
    <xf numFmtId="3" fontId="8" fillId="0" borderId="29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right"/>
    </xf>
    <xf numFmtId="3" fontId="8" fillId="0" borderId="31" xfId="0" applyNumberFormat="1" applyFont="1" applyFill="1" applyBorder="1" applyAlignment="1">
      <alignment horizontal="right"/>
    </xf>
    <xf numFmtId="3" fontId="8" fillId="0" borderId="53" xfId="0" applyNumberFormat="1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3" fontId="8" fillId="0" borderId="41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3" fontId="8" fillId="0" borderId="42" xfId="0" applyNumberFormat="1" applyFont="1" applyFill="1" applyBorder="1" applyAlignment="1">
      <alignment horizontal="right"/>
    </xf>
    <xf numFmtId="3" fontId="8" fillId="0" borderId="52" xfId="0" applyNumberFormat="1" applyFont="1" applyFill="1" applyBorder="1" applyAlignment="1">
      <alignment horizontal="right"/>
    </xf>
    <xf numFmtId="49" fontId="10" fillId="3" borderId="8" xfId="2" applyNumberFormat="1" applyFont="1" applyFill="1" applyBorder="1" applyAlignment="1">
      <alignment horizontal="right" vertical="center" wrapText="1"/>
    </xf>
    <xf numFmtId="3" fontId="8" fillId="0" borderId="30" xfId="0" applyNumberFormat="1" applyFont="1" applyFill="1" applyBorder="1" applyAlignment="1">
      <alignment horizontal="right"/>
    </xf>
    <xf numFmtId="3" fontId="10" fillId="3" borderId="5" xfId="0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0" fontId="4" fillId="3" borderId="5" xfId="0" applyFont="1" applyFill="1" applyBorder="1" applyAlignment="1">
      <alignment vertical="center" wrapText="1"/>
    </xf>
    <xf numFmtId="0" fontId="0" fillId="0" borderId="5" xfId="0" applyBorder="1"/>
    <xf numFmtId="0" fontId="4" fillId="3" borderId="5" xfId="0" applyFont="1" applyFill="1" applyBorder="1" applyAlignment="1">
      <alignment horizontal="right" vertical="center"/>
    </xf>
    <xf numFmtId="0" fontId="0" fillId="0" borderId="4" xfId="0" applyFont="1" applyBorder="1"/>
    <xf numFmtId="0" fontId="0" fillId="0" borderId="5" xfId="0" applyFont="1" applyBorder="1"/>
    <xf numFmtId="3" fontId="20" fillId="3" borderId="5" xfId="0" applyNumberFormat="1" applyFont="1" applyFill="1" applyBorder="1" applyAlignment="1">
      <alignment horizontal="center" vertical="center" wrapText="1"/>
    </xf>
    <xf numFmtId="0" fontId="8" fillId="0" borderId="38" xfId="2" applyFont="1" applyFill="1" applyBorder="1" applyAlignment="1">
      <alignment horizontal="right"/>
    </xf>
    <xf numFmtId="0" fontId="8" fillId="0" borderId="20" xfId="2" applyFont="1" applyFill="1" applyBorder="1" applyAlignment="1">
      <alignment horizontal="right"/>
    </xf>
    <xf numFmtId="3" fontId="10" fillId="6" borderId="5" xfId="2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42" xfId="0" applyNumberFormat="1" applyFont="1" applyBorder="1" applyAlignment="1">
      <alignment horizontal="center" vertical="center" wrapText="1"/>
    </xf>
    <xf numFmtId="3" fontId="19" fillId="0" borderId="40" xfId="0" applyNumberFormat="1" applyFont="1" applyBorder="1" applyAlignment="1">
      <alignment horizontal="center" vertical="center" wrapText="1"/>
    </xf>
    <xf numFmtId="10" fontId="20" fillId="3" borderId="3" xfId="0" applyNumberFormat="1" applyFont="1" applyFill="1" applyBorder="1" applyAlignment="1">
      <alignment horizontal="center" vertical="center" wrapText="1"/>
    </xf>
    <xf numFmtId="10" fontId="9" fillId="15" borderId="38" xfId="1" applyNumberFormat="1" applyFont="1" applyFill="1" applyBorder="1" applyAlignment="1">
      <alignment horizontal="center"/>
    </xf>
    <xf numFmtId="10" fontId="9" fillId="8" borderId="38" xfId="1" applyNumberFormat="1" applyFont="1" applyFill="1" applyBorder="1" applyAlignment="1">
      <alignment horizontal="center"/>
    </xf>
    <xf numFmtId="10" fontId="9" fillId="10" borderId="38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38" xfId="0" applyFont="1" applyBorder="1" applyAlignment="1">
      <alignment horizontal="left" wrapText="1"/>
    </xf>
    <xf numFmtId="0" fontId="5" fillId="0" borderId="38" xfId="0" applyFont="1" applyBorder="1" applyAlignment="1">
      <alignment horizontal="center" wrapText="1"/>
    </xf>
    <xf numFmtId="0" fontId="3" fillId="2" borderId="0" xfId="0" applyFont="1" applyFill="1" applyAlignment="1">
      <alignment horizontal="left" vertical="center"/>
    </xf>
    <xf numFmtId="0" fontId="5" fillId="0" borderId="42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5" fillId="0" borderId="38" xfId="0" applyFont="1" applyBorder="1" applyAlignment="1">
      <alignment wrapText="1"/>
    </xf>
    <xf numFmtId="0" fontId="5" fillId="0" borderId="38" xfId="0" applyFont="1" applyBorder="1" applyAlignment="1">
      <alignment horizontal="left" vertical="top" wrapText="1"/>
    </xf>
    <xf numFmtId="49" fontId="7" fillId="3" borderId="10" xfId="0" applyNumberFormat="1" applyFont="1" applyFill="1" applyBorder="1" applyAlignment="1">
      <alignment horizontal="left"/>
    </xf>
    <xf numFmtId="49" fontId="7" fillId="3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49" fontId="10" fillId="3" borderId="4" xfId="0" applyNumberFormat="1" applyFont="1" applyFill="1" applyBorder="1" applyAlignment="1">
      <alignment horizontal="left"/>
    </xf>
    <xf numFmtId="49" fontId="10" fillId="3" borderId="6" xfId="0" applyNumberFormat="1" applyFont="1" applyFill="1" applyBorder="1" applyAlignment="1">
      <alignment horizontal="left"/>
    </xf>
    <xf numFmtId="49" fontId="10" fillId="3" borderId="28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164" fontId="14" fillId="5" borderId="2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0" fillId="0" borderId="16" xfId="2" applyFont="1" applyFill="1" applyBorder="1" applyAlignment="1"/>
    <xf numFmtId="0" fontId="10" fillId="0" borderId="19" xfId="2" applyFont="1" applyFill="1" applyBorder="1" applyAlignment="1"/>
    <xf numFmtId="0" fontId="10" fillId="0" borderId="14" xfId="2" applyFont="1" applyFill="1" applyBorder="1" applyAlignment="1"/>
    <xf numFmtId="0" fontId="10" fillId="0" borderId="21" xfId="2" applyFont="1" applyFill="1" applyBorder="1" applyAlignment="1"/>
    <xf numFmtId="0" fontId="10" fillId="0" borderId="25" xfId="2" applyFont="1" applyFill="1" applyBorder="1" applyAlignment="1"/>
    <xf numFmtId="0" fontId="10" fillId="0" borderId="26" xfId="2" applyFont="1" applyFill="1" applyBorder="1" applyAlignment="1"/>
    <xf numFmtId="0" fontId="10" fillId="0" borderId="0" xfId="2" applyFont="1" applyFill="1" applyBorder="1" applyAlignment="1"/>
    <xf numFmtId="0" fontId="13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3" borderId="7" xfId="2" applyFont="1" applyFill="1" applyBorder="1" applyAlignment="1">
      <alignment horizontal="center" vertical="center"/>
    </xf>
    <xf numFmtId="0" fontId="7" fillId="3" borderId="9" xfId="2" applyFont="1" applyFill="1" applyBorder="1" applyAlignment="1">
      <alignment horizontal="center" vertical="center"/>
    </xf>
    <xf numFmtId="0" fontId="7" fillId="3" borderId="10" xfId="2" applyFont="1" applyFill="1" applyBorder="1" applyAlignment="1">
      <alignment horizontal="center" vertical="center"/>
    </xf>
    <xf numFmtId="0" fontId="7" fillId="3" borderId="12" xfId="2" applyFont="1" applyFill="1" applyBorder="1" applyAlignment="1">
      <alignment horizontal="center" vertical="center"/>
    </xf>
    <xf numFmtId="0" fontId="7" fillId="3" borderId="37" xfId="2" applyFont="1" applyFill="1" applyBorder="1" applyAlignment="1">
      <alignment horizontal="center" vertical="center"/>
    </xf>
    <xf numFmtId="0" fontId="7" fillId="3" borderId="29" xfId="2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0" fillId="0" borderId="27" xfId="2" applyFont="1" applyFill="1" applyBorder="1" applyAlignment="1"/>
    <xf numFmtId="0" fontId="10" fillId="0" borderId="39" xfId="2" applyFont="1" applyFill="1" applyBorder="1" applyAlignment="1"/>
    <xf numFmtId="0" fontId="23" fillId="0" borderId="0" xfId="2" applyFont="1" applyFill="1" applyBorder="1" applyAlignment="1">
      <alignment horizontal="left" vertical="top" wrapText="1"/>
    </xf>
    <xf numFmtId="49" fontId="10" fillId="3" borderId="1" xfId="2" applyNumberFormat="1" applyFont="1" applyFill="1" applyBorder="1" applyAlignment="1">
      <alignment horizontal="center" vertical="center" wrapText="1"/>
    </xf>
    <xf numFmtId="49" fontId="10" fillId="3" borderId="3" xfId="2" applyNumberFormat="1" applyFont="1" applyFill="1" applyBorder="1" applyAlignment="1">
      <alignment horizontal="center" vertical="center" wrapText="1"/>
    </xf>
    <xf numFmtId="49" fontId="10" fillId="3" borderId="0" xfId="2" applyNumberFormat="1" applyFont="1" applyFill="1" applyBorder="1" applyAlignment="1">
      <alignment horizontal="center" vertical="center" wrapText="1"/>
    </xf>
    <xf numFmtId="49" fontId="10" fillId="3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0" fillId="3" borderId="4" xfId="2" applyFont="1" applyFill="1" applyBorder="1" applyAlignment="1">
      <alignment horizontal="left"/>
    </xf>
    <xf numFmtId="0" fontId="10" fillId="3" borderId="28" xfId="2" applyFont="1" applyFill="1" applyBorder="1" applyAlignment="1">
      <alignment horizontal="left"/>
    </xf>
    <xf numFmtId="49" fontId="10" fillId="3" borderId="11" xfId="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3"/>
    <cellStyle name="normálne_Hárok1" xfId="2"/>
    <cellStyle name="Percentá" xfId="1" builtinId="5"/>
    <cellStyle name="Percentá 2" xfId="4"/>
  </cellStyles>
  <dxfs count="0"/>
  <tableStyles count="0" defaultTableStyle="TableStyleMedium2" defaultPivotStyle="PivotStyleLight16"/>
  <colors>
    <mruColors>
      <color rgb="FFFFFFCC"/>
      <color rgb="FFFFCCCC"/>
      <color rgb="FFDBF2DA"/>
      <color rgb="FFFFF3D1"/>
      <color rgb="FFFFE885"/>
      <color rgb="FF87E3E1"/>
      <color rgb="FFCF9FFF"/>
      <color rgb="FFB5E6F5"/>
      <color rgb="FFABD6A6"/>
      <color rgb="FFC1C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'Lôžkový fond 1'!$I$9</c:f>
              <c:strCache>
                <c:ptCount val="1"/>
                <c:pt idx="0">
                  <c:v>počet lôžok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numRef>
              <c:f>'Lôžkový fond 1'!$H$10:$H$16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'Lôžkový fond 1'!$I$10:$I$16</c:f>
              <c:numCache>
                <c:formatCode>General</c:formatCode>
                <c:ptCount val="7"/>
                <c:pt idx="0">
                  <c:v>581</c:v>
                </c:pt>
                <c:pt idx="1">
                  <c:v>581</c:v>
                </c:pt>
                <c:pt idx="2">
                  <c:v>581</c:v>
                </c:pt>
                <c:pt idx="3">
                  <c:v>581</c:v>
                </c:pt>
                <c:pt idx="4">
                  <c:v>611</c:v>
                </c:pt>
                <c:pt idx="5">
                  <c:v>499</c:v>
                </c:pt>
                <c:pt idx="6">
                  <c:v>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C6-4891-A7B3-A75F0000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543519"/>
        <c:axId val="1776540191"/>
      </c:lineChart>
      <c:catAx>
        <c:axId val="17765435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776540191"/>
        <c:crosses val="autoZero"/>
        <c:auto val="1"/>
        <c:lblAlgn val="ctr"/>
        <c:lblOffset val="100"/>
        <c:noMultiLvlLbl val="0"/>
      </c:catAx>
      <c:valAx>
        <c:axId val="17765401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7765435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'Lôžkový fond 1'!$I$26</c:f>
              <c:strCache>
                <c:ptCount val="1"/>
                <c:pt idx="0">
                  <c:v>využitie LF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numRef>
              <c:f>'Lôžkový fond 1'!$H$27:$H$33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'Lôžkový fond 1'!$I$27:$I$33</c:f>
              <c:numCache>
                <c:formatCode>0.00%</c:formatCode>
                <c:ptCount val="7"/>
                <c:pt idx="0">
                  <c:v>0.67079999999999995</c:v>
                </c:pt>
                <c:pt idx="1">
                  <c:v>0.6905</c:v>
                </c:pt>
                <c:pt idx="2">
                  <c:v>0.68189999999999995</c:v>
                </c:pt>
                <c:pt idx="3">
                  <c:v>0.64980000000000004</c:v>
                </c:pt>
                <c:pt idx="4">
                  <c:v>0.63349999999999995</c:v>
                </c:pt>
                <c:pt idx="5">
                  <c:v>0.50639999999999996</c:v>
                </c:pt>
                <c:pt idx="6">
                  <c:v>0.47889999999999999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12-4653-B828-D0C1B5377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2981311"/>
        <c:axId val="1922980895"/>
      </c:lineChart>
      <c:catAx>
        <c:axId val="19229813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922980895"/>
        <c:crosses val="autoZero"/>
        <c:auto val="1"/>
        <c:lblAlgn val="ctr"/>
        <c:lblOffset val="100"/>
        <c:noMultiLvlLbl val="0"/>
      </c:catAx>
      <c:valAx>
        <c:axId val="1922980895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9229813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'Lôžkový fond 1'!$I$43</c:f>
              <c:strCache>
                <c:ptCount val="1"/>
                <c:pt idx="0">
                  <c:v>ALOS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numRef>
              <c:f>'Lôžkový fond 1'!$H$44:$H$50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'Lôžkový fond 1'!$I$44:$I$50</c:f>
              <c:numCache>
                <c:formatCode>0.00</c:formatCode>
                <c:ptCount val="7"/>
                <c:pt idx="0">
                  <c:v>5.22</c:v>
                </c:pt>
                <c:pt idx="1">
                  <c:v>5.24</c:v>
                </c:pt>
                <c:pt idx="2">
                  <c:v>5.14</c:v>
                </c:pt>
                <c:pt idx="3">
                  <c:v>5.03</c:v>
                </c:pt>
                <c:pt idx="4">
                  <c:v>5.1100000000000003</c:v>
                </c:pt>
                <c:pt idx="5">
                  <c:v>5.57</c:v>
                </c:pt>
                <c:pt idx="6">
                  <c:v>5.33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DC-489F-9C65-563846F7F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2094943"/>
        <c:axId val="1532095775"/>
      </c:lineChart>
      <c:catAx>
        <c:axId val="15320949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532095775"/>
        <c:crosses val="autoZero"/>
        <c:auto val="1"/>
        <c:lblAlgn val="ctr"/>
        <c:lblOffset val="100"/>
        <c:noMultiLvlLbl val="0"/>
      </c:catAx>
      <c:valAx>
        <c:axId val="1532095775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5320949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8</xdr:col>
      <xdr:colOff>0</xdr:colOff>
      <xdr:row>10</xdr:row>
      <xdr:rowOff>2117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876800" cy="182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0</xdr:rowOff>
    </xdr:from>
    <xdr:to>
      <xdr:col>3</xdr:col>
      <xdr:colOff>313762</xdr:colOff>
      <xdr:row>3</xdr:row>
      <xdr:rowOff>95550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0"/>
          <a:ext cx="1755212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87313</xdr:colOff>
      <xdr:row>0</xdr:row>
      <xdr:rowOff>7937</xdr:rowOff>
    </xdr:from>
    <xdr:to>
      <xdr:col>1</xdr:col>
      <xdr:colOff>8962</xdr:colOff>
      <xdr:row>2</xdr:row>
      <xdr:rowOff>255587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13" y="7937"/>
          <a:ext cx="1755212" cy="59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0</xdr:row>
      <xdr:rowOff>0</xdr:rowOff>
    </xdr:from>
    <xdr:to>
      <xdr:col>1</xdr:col>
      <xdr:colOff>1024</xdr:colOff>
      <xdr:row>2</xdr:row>
      <xdr:rowOff>231775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0"/>
          <a:ext cx="1755212" cy="59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103188</xdr:colOff>
      <xdr:row>0</xdr:row>
      <xdr:rowOff>0</xdr:rowOff>
    </xdr:from>
    <xdr:to>
      <xdr:col>1</xdr:col>
      <xdr:colOff>904766</xdr:colOff>
      <xdr:row>3</xdr:row>
      <xdr:rowOff>1965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8" y="0"/>
          <a:ext cx="1754078" cy="610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3970</xdr:colOff>
      <xdr:row>7</xdr:row>
      <xdr:rowOff>168273</xdr:rowOff>
    </xdr:from>
    <xdr:to>
      <xdr:col>16</xdr:col>
      <xdr:colOff>518584</xdr:colOff>
      <xdr:row>20</xdr:row>
      <xdr:rowOff>169332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3968</xdr:colOff>
      <xdr:row>24</xdr:row>
      <xdr:rowOff>186796</xdr:rowOff>
    </xdr:from>
    <xdr:to>
      <xdr:col>16</xdr:col>
      <xdr:colOff>592667</xdr:colOff>
      <xdr:row>38</xdr:row>
      <xdr:rowOff>1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5292</xdr:colOff>
      <xdr:row>42</xdr:row>
      <xdr:rowOff>4233</xdr:rowOff>
    </xdr:from>
    <xdr:to>
      <xdr:col>16</xdr:col>
      <xdr:colOff>571500</xdr:colOff>
      <xdr:row>55</xdr:row>
      <xdr:rowOff>10584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0</xdr:rowOff>
    </xdr:from>
    <xdr:to>
      <xdr:col>0</xdr:col>
      <xdr:colOff>1847742</xdr:colOff>
      <xdr:row>2</xdr:row>
      <xdr:rowOff>249615</xdr:rowOff>
    </xdr:to>
    <xdr:pic>
      <xdr:nvPicPr>
        <xdr:cNvPr id="3" name="Obrázo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0"/>
          <a:ext cx="1752491" cy="614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8"/>
  <sheetViews>
    <sheetView tabSelected="1" workbookViewId="0">
      <selection activeCell="A11" sqref="A11:W188"/>
    </sheetView>
  </sheetViews>
  <sheetFormatPr defaultRowHeight="14.5" x14ac:dyDescent="0.35"/>
  <sheetData>
    <row r="1" spans="1:23" x14ac:dyDescent="0.35">
      <c r="A1" s="300"/>
      <c r="B1" s="300"/>
      <c r="C1" s="300"/>
      <c r="D1" s="300"/>
      <c r="E1" s="300"/>
      <c r="F1" s="300"/>
      <c r="G1" s="300"/>
      <c r="H1" s="300"/>
      <c r="I1" s="301" t="s">
        <v>0</v>
      </c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</row>
    <row r="2" spans="1:23" x14ac:dyDescent="0.35">
      <c r="A2" s="300"/>
      <c r="B2" s="300"/>
      <c r="C2" s="300"/>
      <c r="D2" s="300"/>
      <c r="E2" s="300"/>
      <c r="F2" s="300"/>
      <c r="G2" s="300"/>
      <c r="H2" s="300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</row>
    <row r="3" spans="1:23" x14ac:dyDescent="0.35">
      <c r="A3" s="300"/>
      <c r="B3" s="300"/>
      <c r="C3" s="300"/>
      <c r="D3" s="300"/>
      <c r="E3" s="300"/>
      <c r="F3" s="300"/>
      <c r="G3" s="300"/>
      <c r="H3" s="300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</row>
    <row r="4" spans="1:23" x14ac:dyDescent="0.35">
      <c r="A4" s="300"/>
      <c r="B4" s="300"/>
      <c r="C4" s="300"/>
      <c r="D4" s="300"/>
      <c r="E4" s="300"/>
      <c r="F4" s="300"/>
      <c r="G4" s="300"/>
      <c r="H4" s="300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</row>
    <row r="5" spans="1:23" x14ac:dyDescent="0.35">
      <c r="A5" s="300"/>
      <c r="B5" s="300"/>
      <c r="C5" s="300"/>
      <c r="D5" s="300"/>
      <c r="E5" s="300"/>
      <c r="F5" s="300"/>
      <c r="G5" s="300"/>
      <c r="H5" s="300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</row>
    <row r="6" spans="1:23" x14ac:dyDescent="0.35">
      <c r="A6" s="300"/>
      <c r="B6" s="300"/>
      <c r="C6" s="300"/>
      <c r="D6" s="300"/>
      <c r="E6" s="300"/>
      <c r="F6" s="300"/>
      <c r="G6" s="300"/>
      <c r="H6" s="300"/>
      <c r="I6" s="302" t="s">
        <v>2</v>
      </c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</row>
    <row r="7" spans="1:23" x14ac:dyDescent="0.35">
      <c r="A7" s="300"/>
      <c r="B7" s="300"/>
      <c r="C7" s="300"/>
      <c r="D7" s="300"/>
      <c r="E7" s="300"/>
      <c r="F7" s="300"/>
      <c r="G7" s="300"/>
      <c r="H7" s="300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</row>
    <row r="8" spans="1:23" x14ac:dyDescent="0.35">
      <c r="A8" s="300"/>
      <c r="B8" s="300"/>
      <c r="C8" s="300"/>
      <c r="D8" s="300"/>
      <c r="E8" s="300"/>
      <c r="F8" s="300"/>
      <c r="G8" s="300"/>
      <c r="H8" s="300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</row>
    <row r="9" spans="1:23" x14ac:dyDescent="0.35">
      <c r="A9" s="300"/>
      <c r="B9" s="300"/>
      <c r="C9" s="300"/>
      <c r="D9" s="300"/>
      <c r="E9" s="300"/>
      <c r="F9" s="300"/>
      <c r="G9" s="300"/>
      <c r="H9" s="300"/>
      <c r="I9" s="303" t="s">
        <v>136</v>
      </c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</row>
    <row r="10" spans="1:23" x14ac:dyDescent="0.35">
      <c r="A10" s="300"/>
      <c r="B10" s="300"/>
      <c r="C10" s="300"/>
      <c r="D10" s="300"/>
      <c r="E10" s="300"/>
      <c r="F10" s="300"/>
      <c r="G10" s="300"/>
      <c r="H10" s="300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</row>
    <row r="11" spans="1:23" x14ac:dyDescent="0.35">
      <c r="A11" s="300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</row>
    <row r="12" spans="1:23" x14ac:dyDescent="0.35">
      <c r="A12" s="300"/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</row>
    <row r="13" spans="1:23" x14ac:dyDescent="0.35">
      <c r="A13" s="300"/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</row>
    <row r="14" spans="1:23" x14ac:dyDescent="0.35">
      <c r="A14" s="300"/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</row>
    <row r="15" spans="1:23" x14ac:dyDescent="0.35">
      <c r="A15" s="300"/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</row>
    <row r="16" spans="1:23" x14ac:dyDescent="0.35">
      <c r="A16" s="300"/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</row>
    <row r="17" spans="1:23" x14ac:dyDescent="0.35">
      <c r="A17" s="300"/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</row>
    <row r="18" spans="1:23" x14ac:dyDescent="0.35">
      <c r="A18" s="300"/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</row>
    <row r="19" spans="1:23" x14ac:dyDescent="0.35">
      <c r="A19" s="300"/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</row>
    <row r="20" spans="1:23" x14ac:dyDescent="0.35">
      <c r="A20" s="300"/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</row>
    <row r="21" spans="1:23" x14ac:dyDescent="0.35">
      <c r="A21" s="300"/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</row>
    <row r="22" spans="1:23" x14ac:dyDescent="0.35">
      <c r="A22" s="300"/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</row>
    <row r="23" spans="1:23" x14ac:dyDescent="0.35">
      <c r="A23" s="300"/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</row>
    <row r="24" spans="1:23" x14ac:dyDescent="0.35">
      <c r="A24" s="300"/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</row>
    <row r="25" spans="1:23" x14ac:dyDescent="0.35">
      <c r="A25" s="300"/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</row>
    <row r="26" spans="1:23" x14ac:dyDescent="0.35">
      <c r="A26" s="300"/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</row>
    <row r="27" spans="1:23" x14ac:dyDescent="0.35">
      <c r="A27" s="300"/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</row>
    <row r="28" spans="1:23" x14ac:dyDescent="0.35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</row>
    <row r="29" spans="1:23" x14ac:dyDescent="0.35">
      <c r="A29" s="300"/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</row>
    <row r="30" spans="1:23" x14ac:dyDescent="0.35">
      <c r="A30" s="300"/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</row>
    <row r="31" spans="1:23" x14ac:dyDescent="0.35">
      <c r="A31" s="300"/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</row>
    <row r="32" spans="1:23" x14ac:dyDescent="0.35">
      <c r="A32" s="300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</row>
    <row r="33" spans="1:23" x14ac:dyDescent="0.35">
      <c r="A33" s="300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</row>
    <row r="34" spans="1:23" x14ac:dyDescent="0.35">
      <c r="A34" s="300"/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</row>
    <row r="35" spans="1:23" x14ac:dyDescent="0.35">
      <c r="A35" s="300"/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</row>
    <row r="36" spans="1:23" x14ac:dyDescent="0.35">
      <c r="A36" s="300"/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</row>
    <row r="37" spans="1:23" x14ac:dyDescent="0.35">
      <c r="A37" s="300"/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</row>
    <row r="38" spans="1:23" x14ac:dyDescent="0.35">
      <c r="A38" s="300"/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</row>
    <row r="39" spans="1:23" x14ac:dyDescent="0.35">
      <c r="A39" s="300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</row>
    <row r="40" spans="1:23" x14ac:dyDescent="0.35">
      <c r="A40" s="300"/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</row>
    <row r="41" spans="1:23" x14ac:dyDescent="0.35">
      <c r="A41" s="300"/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</row>
    <row r="42" spans="1:23" x14ac:dyDescent="0.35">
      <c r="A42" s="300"/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</row>
    <row r="43" spans="1:23" x14ac:dyDescent="0.35">
      <c r="A43" s="300"/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</row>
    <row r="44" spans="1:23" x14ac:dyDescent="0.35">
      <c r="A44" s="300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</row>
    <row r="45" spans="1:23" x14ac:dyDescent="0.35">
      <c r="A45" s="300"/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</row>
    <row r="46" spans="1:23" x14ac:dyDescent="0.35">
      <c r="A46" s="300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</row>
    <row r="47" spans="1:23" x14ac:dyDescent="0.35">
      <c r="A47" s="300"/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</row>
    <row r="48" spans="1:23" x14ac:dyDescent="0.35">
      <c r="A48" s="300"/>
      <c r="B48" s="300"/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</row>
    <row r="49" spans="1:23" x14ac:dyDescent="0.35">
      <c r="A49" s="300"/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</row>
    <row r="50" spans="1:23" x14ac:dyDescent="0.35">
      <c r="A50" s="300"/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</row>
    <row r="51" spans="1:23" x14ac:dyDescent="0.35">
      <c r="A51" s="300"/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</row>
    <row r="52" spans="1:23" x14ac:dyDescent="0.35">
      <c r="A52" s="300"/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</row>
    <row r="53" spans="1:23" x14ac:dyDescent="0.35">
      <c r="A53" s="300"/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</row>
    <row r="54" spans="1:23" x14ac:dyDescent="0.35">
      <c r="A54" s="300"/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</row>
    <row r="55" spans="1:23" x14ac:dyDescent="0.35">
      <c r="A55" s="300"/>
      <c r="B55" s="300"/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</row>
    <row r="56" spans="1:23" x14ac:dyDescent="0.35">
      <c r="A56" s="300"/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</row>
    <row r="57" spans="1:23" x14ac:dyDescent="0.35">
      <c r="A57" s="30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</row>
    <row r="58" spans="1:23" x14ac:dyDescent="0.35">
      <c r="A58" s="300"/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</row>
    <row r="59" spans="1:23" x14ac:dyDescent="0.35">
      <c r="A59" s="300"/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</row>
    <row r="60" spans="1:23" x14ac:dyDescent="0.35">
      <c r="A60" s="300"/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</row>
    <row r="61" spans="1:23" x14ac:dyDescent="0.35">
      <c r="A61" s="300"/>
      <c r="B61" s="300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</row>
    <row r="62" spans="1:23" x14ac:dyDescent="0.35">
      <c r="A62" s="300"/>
      <c r="B62" s="300"/>
      <c r="C62" s="300"/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</row>
    <row r="63" spans="1:23" x14ac:dyDescent="0.35">
      <c r="A63" s="300"/>
      <c r="B63" s="300"/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</row>
    <row r="64" spans="1:23" x14ac:dyDescent="0.35">
      <c r="A64" s="300"/>
      <c r="B64" s="300"/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0"/>
    </row>
    <row r="65" spans="1:23" x14ac:dyDescent="0.35">
      <c r="A65" s="300"/>
      <c r="B65" s="300"/>
      <c r="C65" s="300"/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  <c r="W65" s="300"/>
    </row>
    <row r="66" spans="1:23" x14ac:dyDescent="0.35">
      <c r="A66" s="300"/>
      <c r="B66" s="300"/>
      <c r="C66" s="300"/>
      <c r="D66" s="300"/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300"/>
      <c r="T66" s="300"/>
      <c r="U66" s="300"/>
      <c r="V66" s="300"/>
      <c r="W66" s="300"/>
    </row>
    <row r="67" spans="1:23" x14ac:dyDescent="0.35">
      <c r="A67" s="300"/>
      <c r="B67" s="300"/>
      <c r="C67" s="300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0"/>
      <c r="S67" s="300"/>
      <c r="T67" s="300"/>
      <c r="U67" s="300"/>
      <c r="V67" s="300"/>
      <c r="W67" s="300"/>
    </row>
    <row r="68" spans="1:23" x14ac:dyDescent="0.35">
      <c r="A68" s="300"/>
      <c r="B68" s="300"/>
      <c r="C68" s="300"/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300"/>
      <c r="T68" s="300"/>
      <c r="U68" s="300"/>
      <c r="V68" s="300"/>
      <c r="W68" s="300"/>
    </row>
    <row r="69" spans="1:23" x14ac:dyDescent="0.35">
      <c r="A69" s="300"/>
      <c r="B69" s="300"/>
      <c r="C69" s="300"/>
      <c r="D69" s="300"/>
      <c r="E69" s="300"/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  <c r="W69" s="300"/>
    </row>
    <row r="70" spans="1:23" x14ac:dyDescent="0.35">
      <c r="A70" s="300"/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</row>
    <row r="71" spans="1:23" x14ac:dyDescent="0.35">
      <c r="A71" s="300"/>
      <c r="B71" s="300"/>
      <c r="C71" s="300"/>
      <c r="D71" s="300"/>
      <c r="E71" s="300"/>
      <c r="F71" s="300"/>
      <c r="G71" s="300"/>
      <c r="H71" s="300"/>
      <c r="I71" s="300"/>
      <c r="J71" s="300"/>
      <c r="K71" s="300"/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0"/>
      <c r="W71" s="300"/>
    </row>
    <row r="72" spans="1:23" x14ac:dyDescent="0.35">
      <c r="A72" s="300"/>
      <c r="B72" s="300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300"/>
      <c r="S72" s="300"/>
      <c r="T72" s="300"/>
      <c r="U72" s="300"/>
      <c r="V72" s="300"/>
      <c r="W72" s="300"/>
    </row>
    <row r="73" spans="1:23" x14ac:dyDescent="0.35">
      <c r="A73" s="300"/>
      <c r="B73" s="300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  <c r="W73" s="300"/>
    </row>
    <row r="74" spans="1:23" x14ac:dyDescent="0.35">
      <c r="A74" s="300"/>
      <c r="B74" s="300"/>
      <c r="C74" s="300"/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300"/>
      <c r="S74" s="300"/>
      <c r="T74" s="300"/>
      <c r="U74" s="300"/>
      <c r="V74" s="300"/>
      <c r="W74" s="300"/>
    </row>
    <row r="75" spans="1:23" x14ac:dyDescent="0.35">
      <c r="A75" s="300"/>
      <c r="B75" s="300"/>
      <c r="C75" s="300"/>
      <c r="D75" s="300"/>
      <c r="E75" s="300"/>
      <c r="F75" s="300"/>
      <c r="G75" s="300"/>
      <c r="H75" s="300"/>
      <c r="I75" s="300"/>
      <c r="J75" s="300"/>
      <c r="K75" s="300"/>
      <c r="L75" s="300"/>
      <c r="M75" s="300"/>
      <c r="N75" s="300"/>
      <c r="O75" s="300"/>
      <c r="P75" s="300"/>
      <c r="Q75" s="300"/>
      <c r="R75" s="300"/>
      <c r="S75" s="300"/>
      <c r="T75" s="300"/>
      <c r="U75" s="300"/>
      <c r="V75" s="300"/>
      <c r="W75" s="300"/>
    </row>
    <row r="76" spans="1:23" x14ac:dyDescent="0.35">
      <c r="A76" s="300"/>
      <c r="B76" s="300"/>
      <c r="C76" s="300"/>
      <c r="D76" s="300"/>
      <c r="E76" s="300"/>
      <c r="F76" s="300"/>
      <c r="G76" s="300"/>
      <c r="H76" s="300"/>
      <c r="I76" s="300"/>
      <c r="J76" s="300"/>
      <c r="K76" s="300"/>
      <c r="L76" s="300"/>
      <c r="M76" s="300"/>
      <c r="N76" s="300"/>
      <c r="O76" s="300"/>
      <c r="P76" s="300"/>
      <c r="Q76" s="300"/>
      <c r="R76" s="300"/>
      <c r="S76" s="300"/>
      <c r="T76" s="300"/>
      <c r="U76" s="300"/>
      <c r="V76" s="300"/>
      <c r="W76" s="300"/>
    </row>
    <row r="77" spans="1:23" x14ac:dyDescent="0.35">
      <c r="A77" s="300"/>
      <c r="B77" s="300"/>
      <c r="C77" s="300"/>
      <c r="D77" s="300"/>
      <c r="E77" s="300"/>
      <c r="F77" s="300"/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300"/>
      <c r="V77" s="300"/>
      <c r="W77" s="300"/>
    </row>
    <row r="78" spans="1:23" x14ac:dyDescent="0.35">
      <c r="A78" s="300"/>
      <c r="B78" s="300"/>
      <c r="C78" s="300"/>
      <c r="D78" s="300"/>
      <c r="E78" s="300"/>
      <c r="F78" s="300"/>
      <c r="G78" s="300"/>
      <c r="H78" s="300"/>
      <c r="I78" s="300"/>
      <c r="J78" s="300"/>
      <c r="K78" s="300"/>
      <c r="L78" s="300"/>
      <c r="M78" s="300"/>
      <c r="N78" s="300"/>
      <c r="O78" s="300"/>
      <c r="P78" s="300"/>
      <c r="Q78" s="300"/>
      <c r="R78" s="300"/>
      <c r="S78" s="300"/>
      <c r="T78" s="300"/>
      <c r="U78" s="300"/>
      <c r="V78" s="300"/>
      <c r="W78" s="300"/>
    </row>
    <row r="79" spans="1:23" x14ac:dyDescent="0.35">
      <c r="A79" s="300"/>
      <c r="B79" s="300"/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</row>
    <row r="80" spans="1:23" x14ac:dyDescent="0.35">
      <c r="A80" s="300"/>
      <c r="B80" s="300"/>
      <c r="C80" s="300"/>
      <c r="D80" s="300"/>
      <c r="E80" s="300"/>
      <c r="F80" s="300"/>
      <c r="G80" s="300"/>
      <c r="H80" s="300"/>
      <c r="I80" s="300"/>
      <c r="J80" s="300"/>
      <c r="K80" s="300"/>
      <c r="L80" s="300"/>
      <c r="M80" s="300"/>
      <c r="N80" s="300"/>
      <c r="O80" s="300"/>
      <c r="P80" s="300"/>
      <c r="Q80" s="300"/>
      <c r="R80" s="300"/>
      <c r="S80" s="300"/>
      <c r="T80" s="300"/>
      <c r="U80" s="300"/>
      <c r="V80" s="300"/>
      <c r="W80" s="300"/>
    </row>
    <row r="81" spans="1:23" x14ac:dyDescent="0.35">
      <c r="A81" s="300"/>
      <c r="B81" s="300"/>
      <c r="C81" s="300"/>
      <c r="D81" s="300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00"/>
      <c r="P81" s="300"/>
      <c r="Q81" s="300"/>
      <c r="R81" s="300"/>
      <c r="S81" s="300"/>
      <c r="T81" s="300"/>
      <c r="U81" s="300"/>
      <c r="V81" s="300"/>
      <c r="W81" s="300"/>
    </row>
    <row r="82" spans="1:23" x14ac:dyDescent="0.35">
      <c r="A82" s="300"/>
      <c r="B82" s="300"/>
      <c r="C82" s="300"/>
      <c r="D82" s="300"/>
      <c r="E82" s="300"/>
      <c r="F82" s="300"/>
      <c r="G82" s="300"/>
      <c r="H82" s="300"/>
      <c r="I82" s="300"/>
      <c r="J82" s="300"/>
      <c r="K82" s="300"/>
      <c r="L82" s="300"/>
      <c r="M82" s="300"/>
      <c r="N82" s="300"/>
      <c r="O82" s="300"/>
      <c r="P82" s="300"/>
      <c r="Q82" s="300"/>
      <c r="R82" s="300"/>
      <c r="S82" s="300"/>
      <c r="T82" s="300"/>
      <c r="U82" s="300"/>
      <c r="V82" s="300"/>
      <c r="W82" s="300"/>
    </row>
    <row r="83" spans="1:23" x14ac:dyDescent="0.35">
      <c r="A83" s="300"/>
      <c r="B83" s="300"/>
      <c r="C83" s="300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V83" s="300"/>
      <c r="W83" s="300"/>
    </row>
    <row r="84" spans="1:23" x14ac:dyDescent="0.35">
      <c r="A84" s="300"/>
      <c r="B84" s="300"/>
      <c r="C84" s="300"/>
      <c r="D84" s="300"/>
      <c r="E84" s="300"/>
      <c r="F84" s="300"/>
      <c r="G84" s="300"/>
      <c r="H84" s="300"/>
      <c r="I84" s="300"/>
      <c r="J84" s="300"/>
      <c r="K84" s="300"/>
      <c r="L84" s="300"/>
      <c r="M84" s="300"/>
      <c r="N84" s="300"/>
      <c r="O84" s="300"/>
      <c r="P84" s="300"/>
      <c r="Q84" s="300"/>
      <c r="R84" s="300"/>
      <c r="S84" s="300"/>
      <c r="T84" s="300"/>
      <c r="U84" s="300"/>
      <c r="V84" s="300"/>
      <c r="W84" s="300"/>
    </row>
    <row r="85" spans="1:23" x14ac:dyDescent="0.35">
      <c r="A85" s="300"/>
      <c r="B85" s="300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</row>
    <row r="86" spans="1:23" x14ac:dyDescent="0.35">
      <c r="A86" s="300"/>
      <c r="B86" s="300"/>
      <c r="C86" s="300"/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  <c r="Q86" s="300"/>
      <c r="R86" s="300"/>
      <c r="S86" s="300"/>
      <c r="T86" s="300"/>
      <c r="U86" s="300"/>
      <c r="V86" s="300"/>
      <c r="W86" s="300"/>
    </row>
    <row r="87" spans="1:23" x14ac:dyDescent="0.35">
      <c r="A87" s="300"/>
      <c r="B87" s="300"/>
      <c r="C87" s="300"/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300"/>
      <c r="T87" s="300"/>
      <c r="U87" s="300"/>
      <c r="V87" s="300"/>
      <c r="W87" s="300"/>
    </row>
    <row r="88" spans="1:23" x14ac:dyDescent="0.35">
      <c r="A88" s="300"/>
      <c r="B88" s="300"/>
      <c r="C88" s="300"/>
      <c r="D88" s="300"/>
      <c r="E88" s="300"/>
      <c r="F88" s="300"/>
      <c r="G88" s="300"/>
      <c r="H88" s="300"/>
      <c r="I88" s="300"/>
      <c r="J88" s="300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300"/>
      <c r="V88" s="300"/>
      <c r="W88" s="300"/>
    </row>
    <row r="89" spans="1:23" x14ac:dyDescent="0.35">
      <c r="A89" s="300"/>
      <c r="B89" s="300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</row>
    <row r="90" spans="1:23" x14ac:dyDescent="0.35">
      <c r="A90" s="300"/>
      <c r="B90" s="300"/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</row>
    <row r="91" spans="1:23" x14ac:dyDescent="0.35">
      <c r="A91" s="300"/>
      <c r="B91" s="300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</row>
    <row r="92" spans="1:23" x14ac:dyDescent="0.35">
      <c r="A92" s="300"/>
      <c r="B92" s="300"/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</row>
    <row r="93" spans="1:23" x14ac:dyDescent="0.35">
      <c r="A93" s="300"/>
      <c r="B93" s="300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0"/>
      <c r="V93" s="300"/>
      <c r="W93" s="300"/>
    </row>
    <row r="94" spans="1:23" x14ac:dyDescent="0.35">
      <c r="A94" s="300"/>
      <c r="B94" s="300"/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R94" s="300"/>
      <c r="S94" s="300"/>
      <c r="T94" s="300"/>
      <c r="U94" s="300"/>
      <c r="V94" s="300"/>
      <c r="W94" s="300"/>
    </row>
    <row r="95" spans="1:23" x14ac:dyDescent="0.35">
      <c r="A95" s="300"/>
      <c r="B95" s="300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</row>
    <row r="96" spans="1:23" x14ac:dyDescent="0.35">
      <c r="A96" s="300"/>
      <c r="B96" s="300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  <c r="Q96" s="300"/>
      <c r="R96" s="300"/>
      <c r="S96" s="300"/>
      <c r="T96" s="300"/>
      <c r="U96" s="300"/>
      <c r="V96" s="300"/>
      <c r="W96" s="300"/>
    </row>
    <row r="97" spans="1:23" x14ac:dyDescent="0.35">
      <c r="A97" s="300"/>
      <c r="B97" s="300"/>
      <c r="C97" s="300"/>
      <c r="D97" s="300"/>
      <c r="E97" s="300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  <c r="Q97" s="300"/>
      <c r="R97" s="300"/>
      <c r="S97" s="300"/>
      <c r="T97" s="300"/>
      <c r="U97" s="300"/>
      <c r="V97" s="300"/>
      <c r="W97" s="300"/>
    </row>
    <row r="98" spans="1:23" x14ac:dyDescent="0.35">
      <c r="A98" s="300"/>
      <c r="B98" s="300"/>
      <c r="C98" s="300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  <c r="Q98" s="300"/>
      <c r="R98" s="300"/>
      <c r="S98" s="300"/>
      <c r="T98" s="300"/>
      <c r="U98" s="300"/>
      <c r="V98" s="300"/>
      <c r="W98" s="300"/>
    </row>
    <row r="99" spans="1:23" x14ac:dyDescent="0.35">
      <c r="A99" s="300"/>
      <c r="B99" s="300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  <c r="Q99" s="300"/>
      <c r="R99" s="300"/>
      <c r="S99" s="300"/>
      <c r="T99" s="300"/>
      <c r="U99" s="300"/>
      <c r="V99" s="300"/>
      <c r="W99" s="300"/>
    </row>
    <row r="100" spans="1:23" x14ac:dyDescent="0.35">
      <c r="A100" s="300"/>
      <c r="B100" s="300"/>
      <c r="C100" s="300"/>
      <c r="D100" s="300"/>
      <c r="E100" s="300"/>
      <c r="F100" s="300"/>
      <c r="G100" s="300"/>
      <c r="H100" s="300"/>
      <c r="I100" s="300"/>
      <c r="J100" s="300"/>
      <c r="K100" s="300"/>
      <c r="L100" s="300"/>
      <c r="M100" s="300"/>
      <c r="N100" s="300"/>
      <c r="O100" s="300"/>
      <c r="P100" s="300"/>
      <c r="Q100" s="300"/>
      <c r="R100" s="300"/>
      <c r="S100" s="300"/>
      <c r="T100" s="300"/>
      <c r="U100" s="300"/>
      <c r="V100" s="300"/>
      <c r="W100" s="300"/>
    </row>
    <row r="101" spans="1:23" x14ac:dyDescent="0.35">
      <c r="A101" s="300"/>
      <c r="B101" s="300"/>
      <c r="C101" s="300"/>
      <c r="D101" s="300"/>
      <c r="E101" s="300"/>
      <c r="F101" s="300"/>
      <c r="G101" s="300"/>
      <c r="H101" s="300"/>
      <c r="I101" s="300"/>
      <c r="J101" s="300"/>
      <c r="K101" s="300"/>
      <c r="L101" s="300"/>
      <c r="M101" s="300"/>
      <c r="N101" s="300"/>
      <c r="O101" s="300"/>
      <c r="P101" s="300"/>
      <c r="Q101" s="300"/>
      <c r="R101" s="300"/>
      <c r="S101" s="300"/>
      <c r="T101" s="300"/>
      <c r="U101" s="300"/>
      <c r="V101" s="300"/>
      <c r="W101" s="300"/>
    </row>
    <row r="102" spans="1:23" x14ac:dyDescent="0.35">
      <c r="A102" s="300"/>
      <c r="B102" s="300"/>
      <c r="C102" s="300"/>
      <c r="D102" s="300"/>
      <c r="E102" s="300"/>
      <c r="F102" s="300"/>
      <c r="G102" s="300"/>
      <c r="H102" s="300"/>
      <c r="I102" s="300"/>
      <c r="J102" s="300"/>
      <c r="K102" s="300"/>
      <c r="L102" s="300"/>
      <c r="M102" s="300"/>
      <c r="N102" s="300"/>
      <c r="O102" s="300"/>
      <c r="P102" s="300"/>
      <c r="Q102" s="300"/>
      <c r="R102" s="300"/>
      <c r="S102" s="300"/>
      <c r="T102" s="300"/>
      <c r="U102" s="300"/>
      <c r="V102" s="300"/>
      <c r="W102" s="300"/>
    </row>
    <row r="103" spans="1:23" x14ac:dyDescent="0.35">
      <c r="A103" s="300"/>
      <c r="B103" s="300"/>
      <c r="C103" s="300"/>
      <c r="D103" s="300"/>
      <c r="E103" s="300"/>
      <c r="F103" s="300"/>
      <c r="G103" s="300"/>
      <c r="H103" s="300"/>
      <c r="I103" s="300"/>
      <c r="J103" s="300"/>
      <c r="K103" s="300"/>
      <c r="L103" s="300"/>
      <c r="M103" s="300"/>
      <c r="N103" s="300"/>
      <c r="O103" s="300"/>
      <c r="P103" s="300"/>
      <c r="Q103" s="300"/>
      <c r="R103" s="300"/>
      <c r="S103" s="300"/>
      <c r="T103" s="300"/>
      <c r="U103" s="300"/>
      <c r="V103" s="300"/>
      <c r="W103" s="300"/>
    </row>
    <row r="104" spans="1:23" x14ac:dyDescent="0.35">
      <c r="A104" s="300"/>
      <c r="B104" s="300"/>
      <c r="C104" s="300"/>
      <c r="D104" s="300"/>
      <c r="E104" s="300"/>
      <c r="F104" s="300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  <c r="W104" s="300"/>
    </row>
    <row r="105" spans="1:23" x14ac:dyDescent="0.35">
      <c r="A105" s="300"/>
      <c r="B105" s="300"/>
      <c r="C105" s="300"/>
      <c r="D105" s="300"/>
      <c r="E105" s="300"/>
      <c r="F105" s="300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0"/>
      <c r="R105" s="300"/>
      <c r="S105" s="300"/>
      <c r="T105" s="300"/>
      <c r="U105" s="300"/>
      <c r="V105" s="300"/>
      <c r="W105" s="300"/>
    </row>
    <row r="106" spans="1:23" x14ac:dyDescent="0.35">
      <c r="A106" s="300"/>
      <c r="B106" s="300"/>
      <c r="C106" s="300"/>
      <c r="D106" s="300"/>
      <c r="E106" s="300"/>
      <c r="F106" s="300"/>
      <c r="G106" s="300"/>
      <c r="H106" s="300"/>
      <c r="I106" s="300"/>
      <c r="J106" s="300"/>
      <c r="K106" s="300"/>
      <c r="L106" s="300"/>
      <c r="M106" s="300"/>
      <c r="N106" s="300"/>
      <c r="O106" s="300"/>
      <c r="P106" s="300"/>
      <c r="Q106" s="300"/>
      <c r="R106" s="300"/>
      <c r="S106" s="300"/>
      <c r="T106" s="300"/>
      <c r="U106" s="300"/>
      <c r="V106" s="300"/>
      <c r="W106" s="300"/>
    </row>
    <row r="107" spans="1:23" x14ac:dyDescent="0.35">
      <c r="A107" s="300"/>
      <c r="B107" s="300"/>
      <c r="C107" s="300"/>
      <c r="D107" s="300"/>
      <c r="E107" s="300"/>
      <c r="F107" s="300"/>
      <c r="G107" s="300"/>
      <c r="H107" s="300"/>
      <c r="I107" s="300"/>
      <c r="J107" s="300"/>
      <c r="K107" s="300"/>
      <c r="L107" s="300"/>
      <c r="M107" s="300"/>
      <c r="N107" s="300"/>
      <c r="O107" s="300"/>
      <c r="P107" s="300"/>
      <c r="Q107" s="300"/>
      <c r="R107" s="300"/>
      <c r="S107" s="300"/>
      <c r="T107" s="300"/>
      <c r="U107" s="300"/>
      <c r="V107" s="300"/>
      <c r="W107" s="300"/>
    </row>
    <row r="108" spans="1:23" x14ac:dyDescent="0.35">
      <c r="A108" s="300"/>
      <c r="B108" s="300"/>
      <c r="C108" s="300"/>
      <c r="D108" s="300"/>
      <c r="E108" s="300"/>
      <c r="F108" s="300"/>
      <c r="G108" s="300"/>
      <c r="H108" s="300"/>
      <c r="I108" s="300"/>
      <c r="J108" s="300"/>
      <c r="K108" s="300"/>
      <c r="L108" s="300"/>
      <c r="M108" s="300"/>
      <c r="N108" s="300"/>
      <c r="O108" s="300"/>
      <c r="P108" s="300"/>
      <c r="Q108" s="300"/>
      <c r="R108" s="300"/>
      <c r="S108" s="300"/>
      <c r="T108" s="300"/>
      <c r="U108" s="300"/>
      <c r="V108" s="300"/>
      <c r="W108" s="300"/>
    </row>
    <row r="109" spans="1:23" x14ac:dyDescent="0.35">
      <c r="A109" s="300"/>
      <c r="B109" s="300"/>
      <c r="C109" s="300"/>
      <c r="D109" s="300"/>
      <c r="E109" s="300"/>
      <c r="F109" s="300"/>
      <c r="G109" s="300"/>
      <c r="H109" s="300"/>
      <c r="I109" s="300"/>
      <c r="J109" s="300"/>
      <c r="K109" s="300"/>
      <c r="L109" s="300"/>
      <c r="M109" s="300"/>
      <c r="N109" s="300"/>
      <c r="O109" s="300"/>
      <c r="P109" s="300"/>
      <c r="Q109" s="300"/>
      <c r="R109" s="300"/>
      <c r="S109" s="300"/>
      <c r="T109" s="300"/>
      <c r="U109" s="300"/>
      <c r="V109" s="300"/>
      <c r="W109" s="300"/>
    </row>
    <row r="110" spans="1:23" x14ac:dyDescent="0.35">
      <c r="A110" s="300"/>
      <c r="B110" s="300"/>
      <c r="C110" s="300"/>
      <c r="D110" s="300"/>
      <c r="E110" s="300"/>
      <c r="F110" s="300"/>
      <c r="G110" s="300"/>
      <c r="H110" s="300"/>
      <c r="I110" s="300"/>
      <c r="J110" s="300"/>
      <c r="K110" s="300"/>
      <c r="L110" s="300"/>
      <c r="M110" s="300"/>
      <c r="N110" s="300"/>
      <c r="O110" s="300"/>
      <c r="P110" s="300"/>
      <c r="Q110" s="300"/>
      <c r="R110" s="300"/>
      <c r="S110" s="300"/>
      <c r="T110" s="300"/>
      <c r="U110" s="300"/>
      <c r="V110" s="300"/>
      <c r="W110" s="300"/>
    </row>
    <row r="111" spans="1:23" x14ac:dyDescent="0.35">
      <c r="A111" s="300"/>
      <c r="B111" s="300"/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  <c r="Q111" s="300"/>
      <c r="R111" s="300"/>
      <c r="S111" s="300"/>
      <c r="T111" s="300"/>
      <c r="U111" s="300"/>
      <c r="V111" s="300"/>
      <c r="W111" s="300"/>
    </row>
    <row r="112" spans="1:23" x14ac:dyDescent="0.35">
      <c r="A112" s="300"/>
      <c r="B112" s="300"/>
      <c r="C112" s="300"/>
      <c r="D112" s="300"/>
      <c r="E112" s="300"/>
      <c r="F112" s="300"/>
      <c r="G112" s="300"/>
      <c r="H112" s="300"/>
      <c r="I112" s="300"/>
      <c r="J112" s="300"/>
      <c r="K112" s="300"/>
      <c r="L112" s="300"/>
      <c r="M112" s="300"/>
      <c r="N112" s="300"/>
      <c r="O112" s="300"/>
      <c r="P112" s="300"/>
      <c r="Q112" s="300"/>
      <c r="R112" s="300"/>
      <c r="S112" s="300"/>
      <c r="T112" s="300"/>
      <c r="U112" s="300"/>
      <c r="V112" s="300"/>
      <c r="W112" s="300"/>
    </row>
    <row r="113" spans="1:23" x14ac:dyDescent="0.35">
      <c r="A113" s="300"/>
      <c r="B113" s="300"/>
      <c r="C113" s="300"/>
      <c r="D113" s="300"/>
      <c r="E113" s="300"/>
      <c r="F113" s="300"/>
      <c r="G113" s="300"/>
      <c r="H113" s="300"/>
      <c r="I113" s="300"/>
      <c r="J113" s="300"/>
      <c r="K113" s="300"/>
      <c r="L113" s="300"/>
      <c r="M113" s="300"/>
      <c r="N113" s="300"/>
      <c r="O113" s="300"/>
      <c r="P113" s="300"/>
      <c r="Q113" s="300"/>
      <c r="R113" s="300"/>
      <c r="S113" s="300"/>
      <c r="T113" s="300"/>
      <c r="U113" s="300"/>
      <c r="V113" s="300"/>
      <c r="W113" s="300"/>
    </row>
    <row r="114" spans="1:23" x14ac:dyDescent="0.35">
      <c r="A114" s="300"/>
      <c r="B114" s="300"/>
      <c r="C114" s="300"/>
      <c r="D114" s="300"/>
      <c r="E114" s="300"/>
      <c r="F114" s="300"/>
      <c r="G114" s="300"/>
      <c r="H114" s="300"/>
      <c r="I114" s="300"/>
      <c r="J114" s="300"/>
      <c r="K114" s="300"/>
      <c r="L114" s="300"/>
      <c r="M114" s="300"/>
      <c r="N114" s="300"/>
      <c r="O114" s="300"/>
      <c r="P114" s="300"/>
      <c r="Q114" s="300"/>
      <c r="R114" s="300"/>
      <c r="S114" s="300"/>
      <c r="T114" s="300"/>
      <c r="U114" s="300"/>
      <c r="V114" s="300"/>
      <c r="W114" s="300"/>
    </row>
    <row r="115" spans="1:23" x14ac:dyDescent="0.35">
      <c r="A115" s="300"/>
      <c r="B115" s="300"/>
      <c r="C115" s="300"/>
      <c r="D115" s="300"/>
      <c r="E115" s="300"/>
      <c r="F115" s="300"/>
      <c r="G115" s="300"/>
      <c r="H115" s="300"/>
      <c r="I115" s="300"/>
      <c r="J115" s="300"/>
      <c r="K115" s="300"/>
      <c r="L115" s="300"/>
      <c r="M115" s="300"/>
      <c r="N115" s="300"/>
      <c r="O115" s="300"/>
      <c r="P115" s="300"/>
      <c r="Q115" s="300"/>
      <c r="R115" s="300"/>
      <c r="S115" s="300"/>
      <c r="T115" s="300"/>
      <c r="U115" s="300"/>
      <c r="V115" s="300"/>
      <c r="W115" s="300"/>
    </row>
    <row r="116" spans="1:23" x14ac:dyDescent="0.35">
      <c r="A116" s="300"/>
      <c r="B116" s="300"/>
      <c r="C116" s="300"/>
      <c r="D116" s="300"/>
      <c r="E116" s="300"/>
      <c r="F116" s="300"/>
      <c r="G116" s="300"/>
      <c r="H116" s="300"/>
      <c r="I116" s="300"/>
      <c r="J116" s="300"/>
      <c r="K116" s="300"/>
      <c r="L116" s="300"/>
      <c r="M116" s="300"/>
      <c r="N116" s="300"/>
      <c r="O116" s="300"/>
      <c r="P116" s="300"/>
      <c r="Q116" s="300"/>
      <c r="R116" s="300"/>
      <c r="S116" s="300"/>
      <c r="T116" s="300"/>
      <c r="U116" s="300"/>
      <c r="V116" s="300"/>
      <c r="W116" s="300"/>
    </row>
    <row r="117" spans="1:23" x14ac:dyDescent="0.35">
      <c r="A117" s="300"/>
      <c r="B117" s="300"/>
      <c r="C117" s="300"/>
      <c r="D117" s="300"/>
      <c r="E117" s="300"/>
      <c r="F117" s="300"/>
      <c r="G117" s="300"/>
      <c r="H117" s="300"/>
      <c r="I117" s="300"/>
      <c r="J117" s="300"/>
      <c r="K117" s="300"/>
      <c r="L117" s="300"/>
      <c r="M117" s="300"/>
      <c r="N117" s="300"/>
      <c r="O117" s="300"/>
      <c r="P117" s="300"/>
      <c r="Q117" s="300"/>
      <c r="R117" s="300"/>
      <c r="S117" s="300"/>
      <c r="T117" s="300"/>
      <c r="U117" s="300"/>
      <c r="V117" s="300"/>
      <c r="W117" s="300"/>
    </row>
    <row r="118" spans="1:23" x14ac:dyDescent="0.35">
      <c r="A118" s="300"/>
      <c r="B118" s="300"/>
      <c r="C118" s="300"/>
      <c r="D118" s="300"/>
      <c r="E118" s="300"/>
      <c r="F118" s="300"/>
      <c r="G118" s="300"/>
      <c r="H118" s="300"/>
      <c r="I118" s="300"/>
      <c r="J118" s="300"/>
      <c r="K118" s="300"/>
      <c r="L118" s="300"/>
      <c r="M118" s="300"/>
      <c r="N118" s="300"/>
      <c r="O118" s="300"/>
      <c r="P118" s="300"/>
      <c r="Q118" s="300"/>
      <c r="R118" s="300"/>
      <c r="S118" s="300"/>
      <c r="T118" s="300"/>
      <c r="U118" s="300"/>
      <c r="V118" s="300"/>
      <c r="W118" s="300"/>
    </row>
    <row r="119" spans="1:23" x14ac:dyDescent="0.35">
      <c r="A119" s="300"/>
      <c r="B119" s="300"/>
      <c r="C119" s="300"/>
      <c r="D119" s="300"/>
      <c r="E119" s="300"/>
      <c r="F119" s="300"/>
      <c r="G119" s="300"/>
      <c r="H119" s="300"/>
      <c r="I119" s="300"/>
      <c r="J119" s="300"/>
      <c r="K119" s="300"/>
      <c r="L119" s="300"/>
      <c r="M119" s="300"/>
      <c r="N119" s="300"/>
      <c r="O119" s="300"/>
      <c r="P119" s="300"/>
      <c r="Q119" s="300"/>
      <c r="R119" s="300"/>
      <c r="S119" s="300"/>
      <c r="T119" s="300"/>
      <c r="U119" s="300"/>
      <c r="V119" s="300"/>
      <c r="W119" s="300"/>
    </row>
    <row r="120" spans="1:23" x14ac:dyDescent="0.35">
      <c r="A120" s="300"/>
      <c r="B120" s="300"/>
      <c r="C120" s="300"/>
      <c r="D120" s="300"/>
      <c r="E120" s="300"/>
      <c r="F120" s="300"/>
      <c r="G120" s="300"/>
      <c r="H120" s="300"/>
      <c r="I120" s="300"/>
      <c r="J120" s="300"/>
      <c r="K120" s="300"/>
      <c r="L120" s="300"/>
      <c r="M120" s="300"/>
      <c r="N120" s="300"/>
      <c r="O120" s="300"/>
      <c r="P120" s="300"/>
      <c r="Q120" s="300"/>
      <c r="R120" s="300"/>
      <c r="S120" s="300"/>
      <c r="T120" s="300"/>
      <c r="U120" s="300"/>
      <c r="V120" s="300"/>
      <c r="W120" s="300"/>
    </row>
    <row r="121" spans="1:23" x14ac:dyDescent="0.35">
      <c r="A121" s="300"/>
      <c r="B121" s="300"/>
      <c r="C121" s="300"/>
      <c r="D121" s="300"/>
      <c r="E121" s="300"/>
      <c r="F121" s="300"/>
      <c r="G121" s="300"/>
      <c r="H121" s="300"/>
      <c r="I121" s="300"/>
      <c r="J121" s="300"/>
      <c r="K121" s="300"/>
      <c r="L121" s="300"/>
      <c r="M121" s="300"/>
      <c r="N121" s="300"/>
      <c r="O121" s="300"/>
      <c r="P121" s="300"/>
      <c r="Q121" s="300"/>
      <c r="R121" s="300"/>
      <c r="S121" s="300"/>
      <c r="T121" s="300"/>
      <c r="U121" s="300"/>
      <c r="V121" s="300"/>
      <c r="W121" s="300"/>
    </row>
    <row r="122" spans="1:23" x14ac:dyDescent="0.35">
      <c r="A122" s="300"/>
      <c r="B122" s="300"/>
      <c r="C122" s="300"/>
      <c r="D122" s="300"/>
      <c r="E122" s="300"/>
      <c r="F122" s="300"/>
      <c r="G122" s="300"/>
      <c r="H122" s="300"/>
      <c r="I122" s="300"/>
      <c r="J122" s="300"/>
      <c r="K122" s="300"/>
      <c r="L122" s="300"/>
      <c r="M122" s="300"/>
      <c r="N122" s="300"/>
      <c r="O122" s="300"/>
      <c r="P122" s="300"/>
      <c r="Q122" s="300"/>
      <c r="R122" s="300"/>
      <c r="S122" s="300"/>
      <c r="T122" s="300"/>
      <c r="U122" s="300"/>
      <c r="V122" s="300"/>
      <c r="W122" s="300"/>
    </row>
    <row r="123" spans="1:23" x14ac:dyDescent="0.35">
      <c r="A123" s="300"/>
      <c r="B123" s="300"/>
      <c r="C123" s="300"/>
      <c r="D123" s="300"/>
      <c r="E123" s="300"/>
      <c r="F123" s="300"/>
      <c r="G123" s="300"/>
      <c r="H123" s="300"/>
      <c r="I123" s="300"/>
      <c r="J123" s="300"/>
      <c r="K123" s="300"/>
      <c r="L123" s="300"/>
      <c r="M123" s="300"/>
      <c r="N123" s="300"/>
      <c r="O123" s="300"/>
      <c r="P123" s="300"/>
      <c r="Q123" s="300"/>
      <c r="R123" s="300"/>
      <c r="S123" s="300"/>
      <c r="T123" s="300"/>
      <c r="U123" s="300"/>
      <c r="V123" s="300"/>
      <c r="W123" s="300"/>
    </row>
    <row r="124" spans="1:23" x14ac:dyDescent="0.35">
      <c r="A124" s="300"/>
      <c r="B124" s="300"/>
      <c r="C124" s="300"/>
      <c r="D124" s="300"/>
      <c r="E124" s="300"/>
      <c r="F124" s="300"/>
      <c r="G124" s="300"/>
      <c r="H124" s="300"/>
      <c r="I124" s="300"/>
      <c r="J124" s="300"/>
      <c r="K124" s="300"/>
      <c r="L124" s="300"/>
      <c r="M124" s="300"/>
      <c r="N124" s="300"/>
      <c r="O124" s="300"/>
      <c r="P124" s="300"/>
      <c r="Q124" s="300"/>
      <c r="R124" s="300"/>
      <c r="S124" s="300"/>
      <c r="T124" s="300"/>
      <c r="U124" s="300"/>
      <c r="V124" s="300"/>
      <c r="W124" s="300"/>
    </row>
    <row r="125" spans="1:23" x14ac:dyDescent="0.35">
      <c r="A125" s="300"/>
      <c r="B125" s="300"/>
      <c r="C125" s="300"/>
      <c r="D125" s="300"/>
      <c r="E125" s="300"/>
      <c r="F125" s="300"/>
      <c r="G125" s="300"/>
      <c r="H125" s="300"/>
      <c r="I125" s="300"/>
      <c r="J125" s="300"/>
      <c r="K125" s="300"/>
      <c r="L125" s="300"/>
      <c r="M125" s="300"/>
      <c r="N125" s="300"/>
      <c r="O125" s="300"/>
      <c r="P125" s="300"/>
      <c r="Q125" s="300"/>
      <c r="R125" s="300"/>
      <c r="S125" s="300"/>
      <c r="T125" s="300"/>
      <c r="U125" s="300"/>
      <c r="V125" s="300"/>
      <c r="W125" s="300"/>
    </row>
    <row r="126" spans="1:23" x14ac:dyDescent="0.35">
      <c r="A126" s="300"/>
      <c r="B126" s="300"/>
      <c r="C126" s="300"/>
      <c r="D126" s="300"/>
      <c r="E126" s="300"/>
      <c r="F126" s="300"/>
      <c r="G126" s="300"/>
      <c r="H126" s="300"/>
      <c r="I126" s="300"/>
      <c r="J126" s="300"/>
      <c r="K126" s="300"/>
      <c r="L126" s="300"/>
      <c r="M126" s="300"/>
      <c r="N126" s="300"/>
      <c r="O126" s="300"/>
      <c r="P126" s="300"/>
      <c r="Q126" s="300"/>
      <c r="R126" s="300"/>
      <c r="S126" s="300"/>
      <c r="T126" s="300"/>
      <c r="U126" s="300"/>
      <c r="V126" s="300"/>
      <c r="W126" s="300"/>
    </row>
    <row r="127" spans="1:23" x14ac:dyDescent="0.35">
      <c r="A127" s="300"/>
      <c r="B127" s="300"/>
      <c r="C127" s="300"/>
      <c r="D127" s="300"/>
      <c r="E127" s="300"/>
      <c r="F127" s="300"/>
      <c r="G127" s="300"/>
      <c r="H127" s="300"/>
      <c r="I127" s="300"/>
      <c r="J127" s="300"/>
      <c r="K127" s="300"/>
      <c r="L127" s="300"/>
      <c r="M127" s="300"/>
      <c r="N127" s="300"/>
      <c r="O127" s="300"/>
      <c r="P127" s="300"/>
      <c r="Q127" s="300"/>
      <c r="R127" s="300"/>
      <c r="S127" s="300"/>
      <c r="T127" s="300"/>
      <c r="U127" s="300"/>
      <c r="V127" s="300"/>
      <c r="W127" s="300"/>
    </row>
    <row r="128" spans="1:23" x14ac:dyDescent="0.35">
      <c r="A128" s="300"/>
      <c r="B128" s="300"/>
      <c r="C128" s="300"/>
      <c r="D128" s="300"/>
      <c r="E128" s="300"/>
      <c r="F128" s="300"/>
      <c r="G128" s="300"/>
      <c r="H128" s="300"/>
      <c r="I128" s="300"/>
      <c r="J128" s="300"/>
      <c r="K128" s="300"/>
      <c r="L128" s="300"/>
      <c r="M128" s="300"/>
      <c r="N128" s="300"/>
      <c r="O128" s="300"/>
      <c r="P128" s="300"/>
      <c r="Q128" s="300"/>
      <c r="R128" s="300"/>
      <c r="S128" s="300"/>
      <c r="T128" s="300"/>
      <c r="U128" s="300"/>
      <c r="V128" s="300"/>
      <c r="W128" s="300"/>
    </row>
    <row r="129" spans="1:23" x14ac:dyDescent="0.35">
      <c r="A129" s="300"/>
      <c r="B129" s="300"/>
      <c r="C129" s="300"/>
      <c r="D129" s="300"/>
      <c r="E129" s="300"/>
      <c r="F129" s="300"/>
      <c r="G129" s="300"/>
      <c r="H129" s="300"/>
      <c r="I129" s="300"/>
      <c r="J129" s="300"/>
      <c r="K129" s="300"/>
      <c r="L129" s="300"/>
      <c r="M129" s="300"/>
      <c r="N129" s="300"/>
      <c r="O129" s="300"/>
      <c r="P129" s="300"/>
      <c r="Q129" s="300"/>
      <c r="R129" s="300"/>
      <c r="S129" s="300"/>
      <c r="T129" s="300"/>
      <c r="U129" s="300"/>
      <c r="V129" s="300"/>
      <c r="W129" s="300"/>
    </row>
    <row r="130" spans="1:23" x14ac:dyDescent="0.35">
      <c r="A130" s="300"/>
      <c r="B130" s="300"/>
      <c r="C130" s="300"/>
      <c r="D130" s="300"/>
      <c r="E130" s="300"/>
      <c r="F130" s="300"/>
      <c r="G130" s="300"/>
      <c r="H130" s="300"/>
      <c r="I130" s="300"/>
      <c r="J130" s="300"/>
      <c r="K130" s="300"/>
      <c r="L130" s="300"/>
      <c r="M130" s="300"/>
      <c r="N130" s="300"/>
      <c r="O130" s="300"/>
      <c r="P130" s="300"/>
      <c r="Q130" s="300"/>
      <c r="R130" s="300"/>
      <c r="S130" s="300"/>
      <c r="T130" s="300"/>
      <c r="U130" s="300"/>
      <c r="V130" s="300"/>
      <c r="W130" s="300"/>
    </row>
    <row r="131" spans="1:23" x14ac:dyDescent="0.35">
      <c r="A131" s="300"/>
      <c r="B131" s="300"/>
      <c r="C131" s="300"/>
      <c r="D131" s="300"/>
      <c r="E131" s="300"/>
      <c r="F131" s="300"/>
      <c r="G131" s="300"/>
      <c r="H131" s="300"/>
      <c r="I131" s="300"/>
      <c r="J131" s="300"/>
      <c r="K131" s="300"/>
      <c r="L131" s="300"/>
      <c r="M131" s="300"/>
      <c r="N131" s="300"/>
      <c r="O131" s="300"/>
      <c r="P131" s="300"/>
      <c r="Q131" s="300"/>
      <c r="R131" s="300"/>
      <c r="S131" s="300"/>
      <c r="T131" s="300"/>
      <c r="U131" s="300"/>
      <c r="V131" s="300"/>
      <c r="W131" s="300"/>
    </row>
    <row r="132" spans="1:23" x14ac:dyDescent="0.35">
      <c r="A132" s="300"/>
      <c r="B132" s="300"/>
      <c r="C132" s="300"/>
      <c r="D132" s="300"/>
      <c r="E132" s="300"/>
      <c r="F132" s="300"/>
      <c r="G132" s="300"/>
      <c r="H132" s="300"/>
      <c r="I132" s="300"/>
      <c r="J132" s="300"/>
      <c r="K132" s="300"/>
      <c r="L132" s="300"/>
      <c r="M132" s="300"/>
      <c r="N132" s="300"/>
      <c r="O132" s="300"/>
      <c r="P132" s="300"/>
      <c r="Q132" s="300"/>
      <c r="R132" s="300"/>
      <c r="S132" s="300"/>
      <c r="T132" s="300"/>
      <c r="U132" s="300"/>
      <c r="V132" s="300"/>
      <c r="W132" s="300"/>
    </row>
    <row r="133" spans="1:23" x14ac:dyDescent="0.35">
      <c r="A133" s="300"/>
      <c r="B133" s="300"/>
      <c r="C133" s="300"/>
      <c r="D133" s="300"/>
      <c r="E133" s="300"/>
      <c r="F133" s="300"/>
      <c r="G133" s="300"/>
      <c r="H133" s="300"/>
      <c r="I133" s="300"/>
      <c r="J133" s="300"/>
      <c r="K133" s="300"/>
      <c r="L133" s="300"/>
      <c r="M133" s="300"/>
      <c r="N133" s="300"/>
      <c r="O133" s="300"/>
      <c r="P133" s="300"/>
      <c r="Q133" s="300"/>
      <c r="R133" s="300"/>
      <c r="S133" s="300"/>
      <c r="T133" s="300"/>
      <c r="U133" s="300"/>
      <c r="V133" s="300"/>
      <c r="W133" s="300"/>
    </row>
    <row r="134" spans="1:23" x14ac:dyDescent="0.35">
      <c r="A134" s="300"/>
      <c r="B134" s="300"/>
      <c r="C134" s="300"/>
      <c r="D134" s="300"/>
      <c r="E134" s="300"/>
      <c r="F134" s="300"/>
      <c r="G134" s="300"/>
      <c r="H134" s="300"/>
      <c r="I134" s="300"/>
      <c r="J134" s="300"/>
      <c r="K134" s="300"/>
      <c r="L134" s="300"/>
      <c r="M134" s="300"/>
      <c r="N134" s="300"/>
      <c r="O134" s="300"/>
      <c r="P134" s="300"/>
      <c r="Q134" s="300"/>
      <c r="R134" s="300"/>
      <c r="S134" s="300"/>
      <c r="T134" s="300"/>
      <c r="U134" s="300"/>
      <c r="V134" s="300"/>
      <c r="W134" s="300"/>
    </row>
    <row r="135" spans="1:23" x14ac:dyDescent="0.35">
      <c r="A135" s="300"/>
      <c r="B135" s="300"/>
      <c r="C135" s="300"/>
      <c r="D135" s="300"/>
      <c r="E135" s="300"/>
      <c r="F135" s="300"/>
      <c r="G135" s="300"/>
      <c r="H135" s="300"/>
      <c r="I135" s="300"/>
      <c r="J135" s="300"/>
      <c r="K135" s="300"/>
      <c r="L135" s="300"/>
      <c r="M135" s="300"/>
      <c r="N135" s="300"/>
      <c r="O135" s="300"/>
      <c r="P135" s="300"/>
      <c r="Q135" s="300"/>
      <c r="R135" s="300"/>
      <c r="S135" s="300"/>
      <c r="T135" s="300"/>
      <c r="U135" s="300"/>
      <c r="V135" s="300"/>
      <c r="W135" s="300"/>
    </row>
    <row r="136" spans="1:23" x14ac:dyDescent="0.35">
      <c r="A136" s="300"/>
      <c r="B136" s="300"/>
      <c r="C136" s="300"/>
      <c r="D136" s="300"/>
      <c r="E136" s="300"/>
      <c r="F136" s="300"/>
      <c r="G136" s="300"/>
      <c r="H136" s="300"/>
      <c r="I136" s="300"/>
      <c r="J136" s="300"/>
      <c r="K136" s="300"/>
      <c r="L136" s="300"/>
      <c r="M136" s="300"/>
      <c r="N136" s="300"/>
      <c r="O136" s="300"/>
      <c r="P136" s="300"/>
      <c r="Q136" s="300"/>
      <c r="R136" s="300"/>
      <c r="S136" s="300"/>
      <c r="T136" s="300"/>
      <c r="U136" s="300"/>
      <c r="V136" s="300"/>
      <c r="W136" s="300"/>
    </row>
    <row r="137" spans="1:23" x14ac:dyDescent="0.35">
      <c r="A137" s="300"/>
      <c r="B137" s="300"/>
      <c r="C137" s="300"/>
      <c r="D137" s="300"/>
      <c r="E137" s="300"/>
      <c r="F137" s="300"/>
      <c r="G137" s="300"/>
      <c r="H137" s="300"/>
      <c r="I137" s="300"/>
      <c r="J137" s="300"/>
      <c r="K137" s="300"/>
      <c r="L137" s="300"/>
      <c r="M137" s="300"/>
      <c r="N137" s="300"/>
      <c r="O137" s="300"/>
      <c r="P137" s="300"/>
      <c r="Q137" s="300"/>
      <c r="R137" s="300"/>
      <c r="S137" s="300"/>
      <c r="T137" s="300"/>
      <c r="U137" s="300"/>
      <c r="V137" s="300"/>
      <c r="W137" s="300"/>
    </row>
    <row r="138" spans="1:23" x14ac:dyDescent="0.35">
      <c r="A138" s="300"/>
      <c r="B138" s="300"/>
      <c r="C138" s="300"/>
      <c r="D138" s="300"/>
      <c r="E138" s="300"/>
      <c r="F138" s="300"/>
      <c r="G138" s="300"/>
      <c r="H138" s="300"/>
      <c r="I138" s="300"/>
      <c r="J138" s="300"/>
      <c r="K138" s="300"/>
      <c r="L138" s="300"/>
      <c r="M138" s="300"/>
      <c r="N138" s="300"/>
      <c r="O138" s="300"/>
      <c r="P138" s="300"/>
      <c r="Q138" s="300"/>
      <c r="R138" s="300"/>
      <c r="S138" s="300"/>
      <c r="T138" s="300"/>
      <c r="U138" s="300"/>
      <c r="V138" s="300"/>
      <c r="W138" s="300"/>
    </row>
    <row r="139" spans="1:23" x14ac:dyDescent="0.35">
      <c r="A139" s="300"/>
      <c r="B139" s="300"/>
      <c r="C139" s="300"/>
      <c r="D139" s="300"/>
      <c r="E139" s="300"/>
      <c r="F139" s="300"/>
      <c r="G139" s="300"/>
      <c r="H139" s="300"/>
      <c r="I139" s="300"/>
      <c r="J139" s="300"/>
      <c r="K139" s="300"/>
      <c r="L139" s="300"/>
      <c r="M139" s="300"/>
      <c r="N139" s="300"/>
      <c r="O139" s="300"/>
      <c r="P139" s="300"/>
      <c r="Q139" s="300"/>
      <c r="R139" s="300"/>
      <c r="S139" s="300"/>
      <c r="T139" s="300"/>
      <c r="U139" s="300"/>
      <c r="V139" s="300"/>
      <c r="W139" s="300"/>
    </row>
    <row r="140" spans="1:23" x14ac:dyDescent="0.35">
      <c r="A140" s="300"/>
      <c r="B140" s="300"/>
      <c r="C140" s="300"/>
      <c r="D140" s="300"/>
      <c r="E140" s="300"/>
      <c r="F140" s="300"/>
      <c r="G140" s="300"/>
      <c r="H140" s="300"/>
      <c r="I140" s="300"/>
      <c r="J140" s="300"/>
      <c r="K140" s="300"/>
      <c r="L140" s="300"/>
      <c r="M140" s="300"/>
      <c r="N140" s="300"/>
      <c r="O140" s="300"/>
      <c r="P140" s="300"/>
      <c r="Q140" s="300"/>
      <c r="R140" s="300"/>
      <c r="S140" s="300"/>
      <c r="T140" s="300"/>
      <c r="U140" s="300"/>
      <c r="V140" s="300"/>
      <c r="W140" s="300"/>
    </row>
    <row r="141" spans="1:23" x14ac:dyDescent="0.35">
      <c r="A141" s="300"/>
      <c r="B141" s="300"/>
      <c r="C141" s="300"/>
      <c r="D141" s="300"/>
      <c r="E141" s="300"/>
      <c r="F141" s="300"/>
      <c r="G141" s="300"/>
      <c r="H141" s="300"/>
      <c r="I141" s="300"/>
      <c r="J141" s="300"/>
      <c r="K141" s="300"/>
      <c r="L141" s="300"/>
      <c r="M141" s="300"/>
      <c r="N141" s="300"/>
      <c r="O141" s="300"/>
      <c r="P141" s="300"/>
      <c r="Q141" s="300"/>
      <c r="R141" s="300"/>
      <c r="S141" s="300"/>
      <c r="T141" s="300"/>
      <c r="U141" s="300"/>
      <c r="V141" s="300"/>
      <c r="W141" s="300"/>
    </row>
    <row r="142" spans="1:23" x14ac:dyDescent="0.35">
      <c r="A142" s="300"/>
      <c r="B142" s="300"/>
      <c r="C142" s="300"/>
      <c r="D142" s="300"/>
      <c r="E142" s="300"/>
      <c r="F142" s="300"/>
      <c r="G142" s="300"/>
      <c r="H142" s="300"/>
      <c r="I142" s="300"/>
      <c r="J142" s="300"/>
      <c r="K142" s="300"/>
      <c r="L142" s="300"/>
      <c r="M142" s="300"/>
      <c r="N142" s="300"/>
      <c r="O142" s="300"/>
      <c r="P142" s="300"/>
      <c r="Q142" s="300"/>
      <c r="R142" s="300"/>
      <c r="S142" s="300"/>
      <c r="T142" s="300"/>
      <c r="U142" s="300"/>
      <c r="V142" s="300"/>
      <c r="W142" s="300"/>
    </row>
    <row r="143" spans="1:23" x14ac:dyDescent="0.35">
      <c r="A143" s="300"/>
      <c r="B143" s="300"/>
      <c r="C143" s="300"/>
      <c r="D143" s="300"/>
      <c r="E143" s="300"/>
      <c r="F143" s="300"/>
      <c r="G143" s="300"/>
      <c r="H143" s="300"/>
      <c r="I143" s="300"/>
      <c r="J143" s="300"/>
      <c r="K143" s="300"/>
      <c r="L143" s="300"/>
      <c r="M143" s="300"/>
      <c r="N143" s="300"/>
      <c r="O143" s="300"/>
      <c r="P143" s="300"/>
      <c r="Q143" s="300"/>
      <c r="R143" s="300"/>
      <c r="S143" s="300"/>
      <c r="T143" s="300"/>
      <c r="U143" s="300"/>
      <c r="V143" s="300"/>
      <c r="W143" s="300"/>
    </row>
    <row r="144" spans="1:23" x14ac:dyDescent="0.35">
      <c r="A144" s="300"/>
      <c r="B144" s="300"/>
      <c r="C144" s="300"/>
      <c r="D144" s="300"/>
      <c r="E144" s="300"/>
      <c r="F144" s="300"/>
      <c r="G144" s="300"/>
      <c r="H144" s="300"/>
      <c r="I144" s="300"/>
      <c r="J144" s="300"/>
      <c r="K144" s="300"/>
      <c r="L144" s="300"/>
      <c r="M144" s="300"/>
      <c r="N144" s="300"/>
      <c r="O144" s="300"/>
      <c r="P144" s="300"/>
      <c r="Q144" s="300"/>
      <c r="R144" s="300"/>
      <c r="S144" s="300"/>
      <c r="T144" s="300"/>
      <c r="U144" s="300"/>
      <c r="V144" s="300"/>
      <c r="W144" s="300"/>
    </row>
    <row r="145" spans="1:23" x14ac:dyDescent="0.35">
      <c r="A145" s="300"/>
      <c r="B145" s="300"/>
      <c r="C145" s="300"/>
      <c r="D145" s="300"/>
      <c r="E145" s="300"/>
      <c r="F145" s="300"/>
      <c r="G145" s="300"/>
      <c r="H145" s="300"/>
      <c r="I145" s="300"/>
      <c r="J145" s="300"/>
      <c r="K145" s="300"/>
      <c r="L145" s="300"/>
      <c r="M145" s="300"/>
      <c r="N145" s="300"/>
      <c r="O145" s="300"/>
      <c r="P145" s="300"/>
      <c r="Q145" s="300"/>
      <c r="R145" s="300"/>
      <c r="S145" s="300"/>
      <c r="T145" s="300"/>
      <c r="U145" s="300"/>
      <c r="V145" s="300"/>
      <c r="W145" s="300"/>
    </row>
    <row r="146" spans="1:23" x14ac:dyDescent="0.35">
      <c r="A146" s="300"/>
      <c r="B146" s="300"/>
      <c r="C146" s="300"/>
      <c r="D146" s="300"/>
      <c r="E146" s="300"/>
      <c r="F146" s="300"/>
      <c r="G146" s="300"/>
      <c r="H146" s="300"/>
      <c r="I146" s="300"/>
      <c r="J146" s="300"/>
      <c r="K146" s="300"/>
      <c r="L146" s="300"/>
      <c r="M146" s="300"/>
      <c r="N146" s="300"/>
      <c r="O146" s="300"/>
      <c r="P146" s="300"/>
      <c r="Q146" s="300"/>
      <c r="R146" s="300"/>
      <c r="S146" s="300"/>
      <c r="T146" s="300"/>
      <c r="U146" s="300"/>
      <c r="V146" s="300"/>
      <c r="W146" s="300"/>
    </row>
    <row r="147" spans="1:23" x14ac:dyDescent="0.35">
      <c r="A147" s="300"/>
      <c r="B147" s="300"/>
      <c r="C147" s="300"/>
      <c r="D147" s="300"/>
      <c r="E147" s="300"/>
      <c r="F147" s="300"/>
      <c r="G147" s="300"/>
      <c r="H147" s="300"/>
      <c r="I147" s="300"/>
      <c r="J147" s="300"/>
      <c r="K147" s="300"/>
      <c r="L147" s="300"/>
      <c r="M147" s="300"/>
      <c r="N147" s="300"/>
      <c r="O147" s="300"/>
      <c r="P147" s="300"/>
      <c r="Q147" s="300"/>
      <c r="R147" s="300"/>
      <c r="S147" s="300"/>
      <c r="T147" s="300"/>
      <c r="U147" s="300"/>
      <c r="V147" s="300"/>
      <c r="W147" s="300"/>
    </row>
    <row r="148" spans="1:23" x14ac:dyDescent="0.35">
      <c r="A148" s="300"/>
      <c r="B148" s="300"/>
      <c r="C148" s="300"/>
      <c r="D148" s="300"/>
      <c r="E148" s="300"/>
      <c r="F148" s="300"/>
      <c r="G148" s="300"/>
      <c r="H148" s="300"/>
      <c r="I148" s="300"/>
      <c r="J148" s="300"/>
      <c r="K148" s="300"/>
      <c r="L148" s="300"/>
      <c r="M148" s="300"/>
      <c r="N148" s="300"/>
      <c r="O148" s="300"/>
      <c r="P148" s="300"/>
      <c r="Q148" s="300"/>
      <c r="R148" s="300"/>
      <c r="S148" s="300"/>
      <c r="T148" s="300"/>
      <c r="U148" s="300"/>
      <c r="V148" s="300"/>
      <c r="W148" s="300"/>
    </row>
    <row r="149" spans="1:23" x14ac:dyDescent="0.35">
      <c r="A149" s="300"/>
      <c r="B149" s="300"/>
      <c r="C149" s="300"/>
      <c r="D149" s="300"/>
      <c r="E149" s="300"/>
      <c r="F149" s="300"/>
      <c r="G149" s="300"/>
      <c r="H149" s="300"/>
      <c r="I149" s="300"/>
      <c r="J149" s="300"/>
      <c r="K149" s="300"/>
      <c r="L149" s="300"/>
      <c r="M149" s="300"/>
      <c r="N149" s="300"/>
      <c r="O149" s="300"/>
      <c r="P149" s="300"/>
      <c r="Q149" s="300"/>
      <c r="R149" s="300"/>
      <c r="S149" s="300"/>
      <c r="T149" s="300"/>
      <c r="U149" s="300"/>
      <c r="V149" s="300"/>
      <c r="W149" s="300"/>
    </row>
    <row r="150" spans="1:23" x14ac:dyDescent="0.35">
      <c r="A150" s="300"/>
      <c r="B150" s="300"/>
      <c r="C150" s="300"/>
      <c r="D150" s="300"/>
      <c r="E150" s="300"/>
      <c r="F150" s="300"/>
      <c r="G150" s="300"/>
      <c r="H150" s="300"/>
      <c r="I150" s="300"/>
      <c r="J150" s="300"/>
      <c r="K150" s="300"/>
      <c r="L150" s="300"/>
      <c r="M150" s="300"/>
      <c r="N150" s="300"/>
      <c r="O150" s="300"/>
      <c r="P150" s="300"/>
      <c r="Q150" s="300"/>
      <c r="R150" s="300"/>
      <c r="S150" s="300"/>
      <c r="T150" s="300"/>
      <c r="U150" s="300"/>
      <c r="V150" s="300"/>
      <c r="W150" s="300"/>
    </row>
    <row r="151" spans="1:23" x14ac:dyDescent="0.35">
      <c r="A151" s="300"/>
      <c r="B151" s="300"/>
      <c r="C151" s="300"/>
      <c r="D151" s="300"/>
      <c r="E151" s="300"/>
      <c r="F151" s="300"/>
      <c r="G151" s="300"/>
      <c r="H151" s="300"/>
      <c r="I151" s="300"/>
      <c r="J151" s="300"/>
      <c r="K151" s="300"/>
      <c r="L151" s="300"/>
      <c r="M151" s="300"/>
      <c r="N151" s="300"/>
      <c r="O151" s="300"/>
      <c r="P151" s="300"/>
      <c r="Q151" s="300"/>
      <c r="R151" s="300"/>
      <c r="S151" s="300"/>
      <c r="T151" s="300"/>
      <c r="U151" s="300"/>
      <c r="V151" s="300"/>
      <c r="W151" s="300"/>
    </row>
    <row r="152" spans="1:23" x14ac:dyDescent="0.35">
      <c r="A152" s="300"/>
      <c r="B152" s="300"/>
      <c r="C152" s="300"/>
      <c r="D152" s="300"/>
      <c r="E152" s="300"/>
      <c r="F152" s="300"/>
      <c r="G152" s="300"/>
      <c r="H152" s="300"/>
      <c r="I152" s="300"/>
      <c r="J152" s="300"/>
      <c r="K152" s="300"/>
      <c r="L152" s="300"/>
      <c r="M152" s="300"/>
      <c r="N152" s="300"/>
      <c r="O152" s="300"/>
      <c r="P152" s="300"/>
      <c r="Q152" s="300"/>
      <c r="R152" s="300"/>
      <c r="S152" s="300"/>
      <c r="T152" s="300"/>
      <c r="U152" s="300"/>
      <c r="V152" s="300"/>
      <c r="W152" s="300"/>
    </row>
    <row r="153" spans="1:23" x14ac:dyDescent="0.35">
      <c r="A153" s="300"/>
      <c r="B153" s="300"/>
      <c r="C153" s="300"/>
      <c r="D153" s="300"/>
      <c r="E153" s="300"/>
      <c r="F153" s="300"/>
      <c r="G153" s="300"/>
      <c r="H153" s="300"/>
      <c r="I153" s="300"/>
      <c r="J153" s="300"/>
      <c r="K153" s="300"/>
      <c r="L153" s="300"/>
      <c r="M153" s="300"/>
      <c r="N153" s="300"/>
      <c r="O153" s="300"/>
      <c r="P153" s="300"/>
      <c r="Q153" s="300"/>
      <c r="R153" s="300"/>
      <c r="S153" s="300"/>
      <c r="T153" s="300"/>
      <c r="U153" s="300"/>
      <c r="V153" s="300"/>
      <c r="W153" s="300"/>
    </row>
    <row r="154" spans="1:23" x14ac:dyDescent="0.35">
      <c r="A154" s="300"/>
      <c r="B154" s="300"/>
      <c r="C154" s="300"/>
      <c r="D154" s="300"/>
      <c r="E154" s="300"/>
      <c r="F154" s="300"/>
      <c r="G154" s="300"/>
      <c r="H154" s="300"/>
      <c r="I154" s="300"/>
      <c r="J154" s="300"/>
      <c r="K154" s="300"/>
      <c r="L154" s="300"/>
      <c r="M154" s="300"/>
      <c r="N154" s="300"/>
      <c r="O154" s="300"/>
      <c r="P154" s="300"/>
      <c r="Q154" s="300"/>
      <c r="R154" s="300"/>
      <c r="S154" s="300"/>
      <c r="T154" s="300"/>
      <c r="U154" s="300"/>
      <c r="V154" s="300"/>
      <c r="W154" s="300"/>
    </row>
    <row r="155" spans="1:23" x14ac:dyDescent="0.35">
      <c r="A155" s="300"/>
      <c r="B155" s="300"/>
      <c r="C155" s="300"/>
      <c r="D155" s="300"/>
      <c r="E155" s="300"/>
      <c r="F155" s="300"/>
      <c r="G155" s="300"/>
      <c r="H155" s="300"/>
      <c r="I155" s="300"/>
      <c r="J155" s="300"/>
      <c r="K155" s="300"/>
      <c r="L155" s="300"/>
      <c r="M155" s="300"/>
      <c r="N155" s="300"/>
      <c r="O155" s="300"/>
      <c r="P155" s="300"/>
      <c r="Q155" s="300"/>
      <c r="R155" s="300"/>
      <c r="S155" s="300"/>
      <c r="T155" s="300"/>
      <c r="U155" s="300"/>
      <c r="V155" s="300"/>
      <c r="W155" s="300"/>
    </row>
    <row r="156" spans="1:23" x14ac:dyDescent="0.35">
      <c r="A156" s="300"/>
      <c r="B156" s="300"/>
      <c r="C156" s="300"/>
      <c r="D156" s="300"/>
      <c r="E156" s="300"/>
      <c r="F156" s="300"/>
      <c r="G156" s="300"/>
      <c r="H156" s="300"/>
      <c r="I156" s="300"/>
      <c r="J156" s="300"/>
      <c r="K156" s="300"/>
      <c r="L156" s="300"/>
      <c r="M156" s="300"/>
      <c r="N156" s="300"/>
      <c r="O156" s="300"/>
      <c r="P156" s="300"/>
      <c r="Q156" s="300"/>
      <c r="R156" s="300"/>
      <c r="S156" s="300"/>
      <c r="T156" s="300"/>
      <c r="U156" s="300"/>
      <c r="V156" s="300"/>
      <c r="W156" s="300"/>
    </row>
    <row r="157" spans="1:23" x14ac:dyDescent="0.35">
      <c r="A157" s="300"/>
      <c r="B157" s="300"/>
      <c r="C157" s="300"/>
      <c r="D157" s="300"/>
      <c r="E157" s="300"/>
      <c r="F157" s="300"/>
      <c r="G157" s="300"/>
      <c r="H157" s="300"/>
      <c r="I157" s="300"/>
      <c r="J157" s="300"/>
      <c r="K157" s="300"/>
      <c r="L157" s="300"/>
      <c r="M157" s="300"/>
      <c r="N157" s="300"/>
      <c r="O157" s="300"/>
      <c r="P157" s="300"/>
      <c r="Q157" s="300"/>
      <c r="R157" s="300"/>
      <c r="S157" s="300"/>
      <c r="T157" s="300"/>
      <c r="U157" s="300"/>
      <c r="V157" s="300"/>
      <c r="W157" s="300"/>
    </row>
    <row r="158" spans="1:23" x14ac:dyDescent="0.35">
      <c r="A158" s="300"/>
      <c r="B158" s="300"/>
      <c r="C158" s="300"/>
      <c r="D158" s="300"/>
      <c r="E158" s="300"/>
      <c r="F158" s="300"/>
      <c r="G158" s="300"/>
      <c r="H158" s="300"/>
      <c r="I158" s="300"/>
      <c r="J158" s="300"/>
      <c r="K158" s="300"/>
      <c r="L158" s="300"/>
      <c r="M158" s="300"/>
      <c r="N158" s="300"/>
      <c r="O158" s="300"/>
      <c r="P158" s="300"/>
      <c r="Q158" s="300"/>
      <c r="R158" s="300"/>
      <c r="S158" s="300"/>
      <c r="T158" s="300"/>
      <c r="U158" s="300"/>
      <c r="V158" s="300"/>
      <c r="W158" s="300"/>
    </row>
    <row r="159" spans="1:23" x14ac:dyDescent="0.35">
      <c r="A159" s="300"/>
      <c r="B159" s="300"/>
      <c r="C159" s="300"/>
      <c r="D159" s="300"/>
      <c r="E159" s="300"/>
      <c r="F159" s="300"/>
      <c r="G159" s="300"/>
      <c r="H159" s="300"/>
      <c r="I159" s="300"/>
      <c r="J159" s="300"/>
      <c r="K159" s="300"/>
      <c r="L159" s="300"/>
      <c r="M159" s="300"/>
      <c r="N159" s="300"/>
      <c r="O159" s="300"/>
      <c r="P159" s="300"/>
      <c r="Q159" s="300"/>
      <c r="R159" s="300"/>
      <c r="S159" s="300"/>
      <c r="T159" s="300"/>
      <c r="U159" s="300"/>
      <c r="V159" s="300"/>
      <c r="W159" s="300"/>
    </row>
    <row r="160" spans="1:23" x14ac:dyDescent="0.35">
      <c r="A160" s="300"/>
      <c r="B160" s="300"/>
      <c r="C160" s="300"/>
      <c r="D160" s="300"/>
      <c r="E160" s="300"/>
      <c r="F160" s="300"/>
      <c r="G160" s="300"/>
      <c r="H160" s="300"/>
      <c r="I160" s="300"/>
      <c r="J160" s="300"/>
      <c r="K160" s="300"/>
      <c r="L160" s="300"/>
      <c r="M160" s="300"/>
      <c r="N160" s="300"/>
      <c r="O160" s="300"/>
      <c r="P160" s="300"/>
      <c r="Q160" s="300"/>
      <c r="R160" s="300"/>
      <c r="S160" s="300"/>
      <c r="T160" s="300"/>
      <c r="U160" s="300"/>
      <c r="V160" s="300"/>
      <c r="W160" s="300"/>
    </row>
    <row r="161" spans="1:23" x14ac:dyDescent="0.35">
      <c r="A161" s="300"/>
      <c r="B161" s="300"/>
      <c r="C161" s="300"/>
      <c r="D161" s="300"/>
      <c r="E161" s="300"/>
      <c r="F161" s="300"/>
      <c r="G161" s="300"/>
      <c r="H161" s="300"/>
      <c r="I161" s="300"/>
      <c r="J161" s="300"/>
      <c r="K161" s="300"/>
      <c r="L161" s="300"/>
      <c r="M161" s="300"/>
      <c r="N161" s="300"/>
      <c r="O161" s="300"/>
      <c r="P161" s="300"/>
      <c r="Q161" s="300"/>
      <c r="R161" s="300"/>
      <c r="S161" s="300"/>
      <c r="T161" s="300"/>
      <c r="U161" s="300"/>
      <c r="V161" s="300"/>
      <c r="W161" s="300"/>
    </row>
    <row r="162" spans="1:23" x14ac:dyDescent="0.35">
      <c r="A162" s="300"/>
      <c r="B162" s="300"/>
      <c r="C162" s="300"/>
      <c r="D162" s="300"/>
      <c r="E162" s="300"/>
      <c r="F162" s="300"/>
      <c r="G162" s="300"/>
      <c r="H162" s="300"/>
      <c r="I162" s="300"/>
      <c r="J162" s="300"/>
      <c r="K162" s="300"/>
      <c r="L162" s="300"/>
      <c r="M162" s="300"/>
      <c r="N162" s="300"/>
      <c r="O162" s="300"/>
      <c r="P162" s="300"/>
      <c r="Q162" s="300"/>
      <c r="R162" s="300"/>
      <c r="S162" s="300"/>
      <c r="T162" s="300"/>
      <c r="U162" s="300"/>
      <c r="V162" s="300"/>
      <c r="W162" s="300"/>
    </row>
    <row r="163" spans="1:23" x14ac:dyDescent="0.35">
      <c r="A163" s="300"/>
      <c r="B163" s="300"/>
      <c r="C163" s="300"/>
      <c r="D163" s="300"/>
      <c r="E163" s="300"/>
      <c r="F163" s="300"/>
      <c r="G163" s="300"/>
      <c r="H163" s="300"/>
      <c r="I163" s="300"/>
      <c r="J163" s="300"/>
      <c r="K163" s="300"/>
      <c r="L163" s="300"/>
      <c r="M163" s="300"/>
      <c r="N163" s="300"/>
      <c r="O163" s="300"/>
      <c r="P163" s="300"/>
      <c r="Q163" s="300"/>
      <c r="R163" s="300"/>
      <c r="S163" s="300"/>
      <c r="T163" s="300"/>
      <c r="U163" s="300"/>
      <c r="V163" s="300"/>
      <c r="W163" s="300"/>
    </row>
    <row r="164" spans="1:23" x14ac:dyDescent="0.35">
      <c r="A164" s="300"/>
      <c r="B164" s="300"/>
      <c r="C164" s="300"/>
      <c r="D164" s="300"/>
      <c r="E164" s="300"/>
      <c r="F164" s="300"/>
      <c r="G164" s="300"/>
      <c r="H164" s="300"/>
      <c r="I164" s="300"/>
      <c r="J164" s="300"/>
      <c r="K164" s="300"/>
      <c r="L164" s="300"/>
      <c r="M164" s="300"/>
      <c r="N164" s="300"/>
      <c r="O164" s="300"/>
      <c r="P164" s="300"/>
      <c r="Q164" s="300"/>
      <c r="R164" s="300"/>
      <c r="S164" s="300"/>
      <c r="T164" s="300"/>
      <c r="U164" s="300"/>
      <c r="V164" s="300"/>
      <c r="W164" s="300"/>
    </row>
    <row r="165" spans="1:23" x14ac:dyDescent="0.35">
      <c r="A165" s="300"/>
      <c r="B165" s="300"/>
      <c r="C165" s="300"/>
      <c r="D165" s="300"/>
      <c r="E165" s="300"/>
      <c r="F165" s="300"/>
      <c r="G165" s="300"/>
      <c r="H165" s="300"/>
      <c r="I165" s="300"/>
      <c r="J165" s="300"/>
      <c r="K165" s="300"/>
      <c r="L165" s="300"/>
      <c r="M165" s="300"/>
      <c r="N165" s="300"/>
      <c r="O165" s="300"/>
      <c r="P165" s="300"/>
      <c r="Q165" s="300"/>
      <c r="R165" s="300"/>
      <c r="S165" s="300"/>
      <c r="T165" s="300"/>
      <c r="U165" s="300"/>
      <c r="V165" s="300"/>
      <c r="W165" s="300"/>
    </row>
    <row r="166" spans="1:23" x14ac:dyDescent="0.35">
      <c r="A166" s="300"/>
      <c r="B166" s="300"/>
      <c r="C166" s="300"/>
      <c r="D166" s="300"/>
      <c r="E166" s="300"/>
      <c r="F166" s="300"/>
      <c r="G166" s="300"/>
      <c r="H166" s="300"/>
      <c r="I166" s="300"/>
      <c r="J166" s="300"/>
      <c r="K166" s="300"/>
      <c r="L166" s="300"/>
      <c r="M166" s="300"/>
      <c r="N166" s="300"/>
      <c r="O166" s="300"/>
      <c r="P166" s="300"/>
      <c r="Q166" s="300"/>
      <c r="R166" s="300"/>
      <c r="S166" s="300"/>
      <c r="T166" s="300"/>
      <c r="U166" s="300"/>
      <c r="V166" s="300"/>
      <c r="W166" s="300"/>
    </row>
    <row r="167" spans="1:23" x14ac:dyDescent="0.35">
      <c r="A167" s="300"/>
      <c r="B167" s="300"/>
      <c r="C167" s="300"/>
      <c r="D167" s="300"/>
      <c r="E167" s="300"/>
      <c r="F167" s="300"/>
      <c r="G167" s="300"/>
      <c r="H167" s="300"/>
      <c r="I167" s="300"/>
      <c r="J167" s="300"/>
      <c r="K167" s="300"/>
      <c r="L167" s="300"/>
      <c r="M167" s="300"/>
      <c r="N167" s="300"/>
      <c r="O167" s="300"/>
      <c r="P167" s="300"/>
      <c r="Q167" s="300"/>
      <c r="R167" s="300"/>
      <c r="S167" s="300"/>
      <c r="T167" s="300"/>
      <c r="U167" s="300"/>
      <c r="V167" s="300"/>
      <c r="W167" s="300"/>
    </row>
    <row r="168" spans="1:23" x14ac:dyDescent="0.35">
      <c r="A168" s="300"/>
      <c r="B168" s="300"/>
      <c r="C168" s="300"/>
      <c r="D168" s="300"/>
      <c r="E168" s="300"/>
      <c r="F168" s="300"/>
      <c r="G168" s="300"/>
      <c r="H168" s="300"/>
      <c r="I168" s="300"/>
      <c r="J168" s="300"/>
      <c r="K168" s="300"/>
      <c r="L168" s="300"/>
      <c r="M168" s="300"/>
      <c r="N168" s="300"/>
      <c r="O168" s="300"/>
      <c r="P168" s="300"/>
      <c r="Q168" s="300"/>
      <c r="R168" s="300"/>
      <c r="S168" s="300"/>
      <c r="T168" s="300"/>
      <c r="U168" s="300"/>
      <c r="V168" s="300"/>
      <c r="W168" s="300"/>
    </row>
    <row r="169" spans="1:23" x14ac:dyDescent="0.35">
      <c r="A169" s="300"/>
      <c r="B169" s="300"/>
      <c r="C169" s="300"/>
      <c r="D169" s="300"/>
      <c r="E169" s="300"/>
      <c r="F169" s="300"/>
      <c r="G169" s="300"/>
      <c r="H169" s="300"/>
      <c r="I169" s="300"/>
      <c r="J169" s="300"/>
      <c r="K169" s="300"/>
      <c r="L169" s="300"/>
      <c r="M169" s="300"/>
      <c r="N169" s="300"/>
      <c r="O169" s="300"/>
      <c r="P169" s="300"/>
      <c r="Q169" s="300"/>
      <c r="R169" s="300"/>
      <c r="S169" s="300"/>
      <c r="T169" s="300"/>
      <c r="U169" s="300"/>
      <c r="V169" s="300"/>
      <c r="W169" s="300"/>
    </row>
    <row r="170" spans="1:23" x14ac:dyDescent="0.35">
      <c r="A170" s="300"/>
      <c r="B170" s="300"/>
      <c r="C170" s="300"/>
      <c r="D170" s="300"/>
      <c r="E170" s="300"/>
      <c r="F170" s="300"/>
      <c r="G170" s="300"/>
      <c r="H170" s="300"/>
      <c r="I170" s="300"/>
      <c r="J170" s="300"/>
      <c r="K170" s="300"/>
      <c r="L170" s="300"/>
      <c r="M170" s="300"/>
      <c r="N170" s="300"/>
      <c r="O170" s="300"/>
      <c r="P170" s="300"/>
      <c r="Q170" s="300"/>
      <c r="R170" s="300"/>
      <c r="S170" s="300"/>
      <c r="T170" s="300"/>
      <c r="U170" s="300"/>
      <c r="V170" s="300"/>
      <c r="W170" s="300"/>
    </row>
    <row r="171" spans="1:23" x14ac:dyDescent="0.35">
      <c r="A171" s="300"/>
      <c r="B171" s="300"/>
      <c r="C171" s="300"/>
      <c r="D171" s="300"/>
      <c r="E171" s="300"/>
      <c r="F171" s="300"/>
      <c r="G171" s="300"/>
      <c r="H171" s="300"/>
      <c r="I171" s="300"/>
      <c r="J171" s="300"/>
      <c r="K171" s="300"/>
      <c r="L171" s="300"/>
      <c r="M171" s="300"/>
      <c r="N171" s="300"/>
      <c r="O171" s="300"/>
      <c r="P171" s="300"/>
      <c r="Q171" s="300"/>
      <c r="R171" s="300"/>
      <c r="S171" s="300"/>
      <c r="T171" s="300"/>
      <c r="U171" s="300"/>
      <c r="V171" s="300"/>
      <c r="W171" s="300"/>
    </row>
    <row r="172" spans="1:23" x14ac:dyDescent="0.35">
      <c r="A172" s="300"/>
      <c r="B172" s="300"/>
      <c r="C172" s="300"/>
      <c r="D172" s="300"/>
      <c r="E172" s="300"/>
      <c r="F172" s="300"/>
      <c r="G172" s="300"/>
      <c r="H172" s="300"/>
      <c r="I172" s="300"/>
      <c r="J172" s="300"/>
      <c r="K172" s="300"/>
      <c r="L172" s="300"/>
      <c r="M172" s="300"/>
      <c r="N172" s="300"/>
      <c r="O172" s="300"/>
      <c r="P172" s="300"/>
      <c r="Q172" s="300"/>
      <c r="R172" s="300"/>
      <c r="S172" s="300"/>
      <c r="T172" s="300"/>
      <c r="U172" s="300"/>
      <c r="V172" s="300"/>
      <c r="W172" s="300"/>
    </row>
    <row r="173" spans="1:23" x14ac:dyDescent="0.35">
      <c r="A173" s="300"/>
      <c r="B173" s="300"/>
      <c r="C173" s="300"/>
      <c r="D173" s="300"/>
      <c r="E173" s="300"/>
      <c r="F173" s="300"/>
      <c r="G173" s="300"/>
      <c r="H173" s="300"/>
      <c r="I173" s="300"/>
      <c r="J173" s="300"/>
      <c r="K173" s="300"/>
      <c r="L173" s="300"/>
      <c r="M173" s="300"/>
      <c r="N173" s="300"/>
      <c r="O173" s="300"/>
      <c r="P173" s="300"/>
      <c r="Q173" s="300"/>
      <c r="R173" s="300"/>
      <c r="S173" s="300"/>
      <c r="T173" s="300"/>
      <c r="U173" s="300"/>
      <c r="V173" s="300"/>
      <c r="W173" s="300"/>
    </row>
    <row r="174" spans="1:23" x14ac:dyDescent="0.35">
      <c r="A174" s="300"/>
      <c r="B174" s="300"/>
      <c r="C174" s="300"/>
      <c r="D174" s="300"/>
      <c r="E174" s="300"/>
      <c r="F174" s="300"/>
      <c r="G174" s="300"/>
      <c r="H174" s="300"/>
      <c r="I174" s="300"/>
      <c r="J174" s="300"/>
      <c r="K174" s="300"/>
      <c r="L174" s="300"/>
      <c r="M174" s="300"/>
      <c r="N174" s="300"/>
      <c r="O174" s="300"/>
      <c r="P174" s="300"/>
      <c r="Q174" s="300"/>
      <c r="R174" s="300"/>
      <c r="S174" s="300"/>
      <c r="T174" s="300"/>
      <c r="U174" s="300"/>
      <c r="V174" s="300"/>
      <c r="W174" s="300"/>
    </row>
    <row r="175" spans="1:23" x14ac:dyDescent="0.35">
      <c r="A175" s="300"/>
      <c r="B175" s="300"/>
      <c r="C175" s="300"/>
      <c r="D175" s="300"/>
      <c r="E175" s="300"/>
      <c r="F175" s="300"/>
      <c r="G175" s="300"/>
      <c r="H175" s="300"/>
      <c r="I175" s="300"/>
      <c r="J175" s="300"/>
      <c r="K175" s="300"/>
      <c r="L175" s="300"/>
      <c r="M175" s="300"/>
      <c r="N175" s="300"/>
      <c r="O175" s="300"/>
      <c r="P175" s="300"/>
      <c r="Q175" s="300"/>
      <c r="R175" s="300"/>
      <c r="S175" s="300"/>
      <c r="T175" s="300"/>
      <c r="U175" s="300"/>
      <c r="V175" s="300"/>
      <c r="W175" s="300"/>
    </row>
    <row r="176" spans="1:23" x14ac:dyDescent="0.35">
      <c r="A176" s="300"/>
      <c r="B176" s="300"/>
      <c r="C176" s="300"/>
      <c r="D176" s="300"/>
      <c r="E176" s="300"/>
      <c r="F176" s="300"/>
      <c r="G176" s="300"/>
      <c r="H176" s="300"/>
      <c r="I176" s="300"/>
      <c r="J176" s="300"/>
      <c r="K176" s="300"/>
      <c r="L176" s="300"/>
      <c r="M176" s="300"/>
      <c r="N176" s="300"/>
      <c r="O176" s="300"/>
      <c r="P176" s="300"/>
      <c r="Q176" s="300"/>
      <c r="R176" s="300"/>
      <c r="S176" s="300"/>
      <c r="T176" s="300"/>
      <c r="U176" s="300"/>
      <c r="V176" s="300"/>
      <c r="W176" s="300"/>
    </row>
    <row r="177" spans="1:23" x14ac:dyDescent="0.35">
      <c r="A177" s="300"/>
      <c r="B177" s="300"/>
      <c r="C177" s="300"/>
      <c r="D177" s="300"/>
      <c r="E177" s="300"/>
      <c r="F177" s="300"/>
      <c r="G177" s="300"/>
      <c r="H177" s="300"/>
      <c r="I177" s="300"/>
      <c r="J177" s="300"/>
      <c r="K177" s="300"/>
      <c r="L177" s="300"/>
      <c r="M177" s="300"/>
      <c r="N177" s="300"/>
      <c r="O177" s="300"/>
      <c r="P177" s="300"/>
      <c r="Q177" s="300"/>
      <c r="R177" s="300"/>
      <c r="S177" s="300"/>
      <c r="T177" s="300"/>
      <c r="U177" s="300"/>
      <c r="V177" s="300"/>
      <c r="W177" s="300"/>
    </row>
    <row r="178" spans="1:23" x14ac:dyDescent="0.35">
      <c r="A178" s="300"/>
      <c r="B178" s="300"/>
      <c r="C178" s="300"/>
      <c r="D178" s="300"/>
      <c r="E178" s="300"/>
      <c r="F178" s="300"/>
      <c r="G178" s="300"/>
      <c r="H178" s="300"/>
      <c r="I178" s="300"/>
      <c r="J178" s="300"/>
      <c r="K178" s="300"/>
      <c r="L178" s="300"/>
      <c r="M178" s="300"/>
      <c r="N178" s="300"/>
      <c r="O178" s="300"/>
      <c r="P178" s="300"/>
      <c r="Q178" s="300"/>
      <c r="R178" s="300"/>
      <c r="S178" s="300"/>
      <c r="T178" s="300"/>
      <c r="U178" s="300"/>
      <c r="V178" s="300"/>
      <c r="W178" s="300"/>
    </row>
    <row r="179" spans="1:23" x14ac:dyDescent="0.35">
      <c r="A179" s="300"/>
      <c r="B179" s="300"/>
      <c r="C179" s="300"/>
      <c r="D179" s="300"/>
      <c r="E179" s="300"/>
      <c r="F179" s="300"/>
      <c r="G179" s="300"/>
      <c r="H179" s="300"/>
      <c r="I179" s="300"/>
      <c r="J179" s="300"/>
      <c r="K179" s="300"/>
      <c r="L179" s="300"/>
      <c r="M179" s="300"/>
      <c r="N179" s="300"/>
      <c r="O179" s="300"/>
      <c r="P179" s="300"/>
      <c r="Q179" s="300"/>
      <c r="R179" s="300"/>
      <c r="S179" s="300"/>
      <c r="T179" s="300"/>
      <c r="U179" s="300"/>
      <c r="V179" s="300"/>
      <c r="W179" s="300"/>
    </row>
    <row r="180" spans="1:23" x14ac:dyDescent="0.35">
      <c r="A180" s="300"/>
      <c r="B180" s="300"/>
      <c r="C180" s="300"/>
      <c r="D180" s="300"/>
      <c r="E180" s="300"/>
      <c r="F180" s="300"/>
      <c r="G180" s="300"/>
      <c r="H180" s="300"/>
      <c r="I180" s="300"/>
      <c r="J180" s="300"/>
      <c r="K180" s="300"/>
      <c r="L180" s="300"/>
      <c r="M180" s="300"/>
      <c r="N180" s="300"/>
      <c r="O180" s="300"/>
      <c r="P180" s="300"/>
      <c r="Q180" s="300"/>
      <c r="R180" s="300"/>
      <c r="S180" s="300"/>
      <c r="T180" s="300"/>
      <c r="U180" s="300"/>
      <c r="V180" s="300"/>
      <c r="W180" s="300"/>
    </row>
    <row r="181" spans="1:23" x14ac:dyDescent="0.35">
      <c r="A181" s="300"/>
      <c r="B181" s="300"/>
      <c r="C181" s="300"/>
      <c r="D181" s="300"/>
      <c r="E181" s="300"/>
      <c r="F181" s="300"/>
      <c r="G181" s="300"/>
      <c r="H181" s="300"/>
      <c r="I181" s="300"/>
      <c r="J181" s="300"/>
      <c r="K181" s="300"/>
      <c r="L181" s="300"/>
      <c r="M181" s="300"/>
      <c r="N181" s="300"/>
      <c r="O181" s="300"/>
      <c r="P181" s="300"/>
      <c r="Q181" s="300"/>
      <c r="R181" s="300"/>
      <c r="S181" s="300"/>
      <c r="T181" s="300"/>
      <c r="U181" s="300"/>
      <c r="V181" s="300"/>
      <c r="W181" s="300"/>
    </row>
    <row r="182" spans="1:23" x14ac:dyDescent="0.35">
      <c r="A182" s="300"/>
      <c r="B182" s="300"/>
      <c r="C182" s="300"/>
      <c r="D182" s="300"/>
      <c r="E182" s="300"/>
      <c r="F182" s="300"/>
      <c r="G182" s="300"/>
      <c r="H182" s="300"/>
      <c r="I182" s="300"/>
      <c r="J182" s="300"/>
      <c r="K182" s="300"/>
      <c r="L182" s="300"/>
      <c r="M182" s="300"/>
      <c r="N182" s="300"/>
      <c r="O182" s="300"/>
      <c r="P182" s="300"/>
      <c r="Q182" s="300"/>
      <c r="R182" s="300"/>
      <c r="S182" s="300"/>
      <c r="T182" s="300"/>
      <c r="U182" s="300"/>
      <c r="V182" s="300"/>
      <c r="W182" s="300"/>
    </row>
    <row r="183" spans="1:23" x14ac:dyDescent="0.35">
      <c r="A183" s="300"/>
      <c r="B183" s="300"/>
      <c r="C183" s="300"/>
      <c r="D183" s="300"/>
      <c r="E183" s="300"/>
      <c r="F183" s="300"/>
      <c r="G183" s="300"/>
      <c r="H183" s="300"/>
      <c r="I183" s="300"/>
      <c r="J183" s="300"/>
      <c r="K183" s="300"/>
      <c r="L183" s="300"/>
      <c r="M183" s="300"/>
      <c r="N183" s="300"/>
      <c r="O183" s="300"/>
      <c r="P183" s="300"/>
      <c r="Q183" s="300"/>
      <c r="R183" s="300"/>
      <c r="S183" s="300"/>
      <c r="T183" s="300"/>
      <c r="U183" s="300"/>
      <c r="V183" s="300"/>
      <c r="W183" s="300"/>
    </row>
    <row r="184" spans="1:23" x14ac:dyDescent="0.35">
      <c r="A184" s="300"/>
      <c r="B184" s="300"/>
      <c r="C184" s="300"/>
      <c r="D184" s="300"/>
      <c r="E184" s="300"/>
      <c r="F184" s="300"/>
      <c r="G184" s="300"/>
      <c r="H184" s="300"/>
      <c r="I184" s="300"/>
      <c r="J184" s="300"/>
      <c r="K184" s="300"/>
      <c r="L184" s="300"/>
      <c r="M184" s="300"/>
      <c r="N184" s="300"/>
      <c r="O184" s="300"/>
      <c r="P184" s="300"/>
      <c r="Q184" s="300"/>
      <c r="R184" s="300"/>
      <c r="S184" s="300"/>
      <c r="T184" s="300"/>
      <c r="U184" s="300"/>
      <c r="V184" s="300"/>
      <c r="W184" s="300"/>
    </row>
    <row r="185" spans="1:23" x14ac:dyDescent="0.35">
      <c r="A185" s="300"/>
      <c r="B185" s="300"/>
      <c r="C185" s="300"/>
      <c r="D185" s="300"/>
      <c r="E185" s="300"/>
      <c r="F185" s="300"/>
      <c r="G185" s="300"/>
      <c r="H185" s="300"/>
      <c r="I185" s="300"/>
      <c r="J185" s="300"/>
      <c r="K185" s="300"/>
      <c r="L185" s="300"/>
      <c r="M185" s="300"/>
      <c r="N185" s="300"/>
      <c r="O185" s="300"/>
      <c r="P185" s="300"/>
      <c r="Q185" s="300"/>
      <c r="R185" s="300"/>
      <c r="S185" s="300"/>
      <c r="T185" s="300"/>
      <c r="U185" s="300"/>
      <c r="V185" s="300"/>
      <c r="W185" s="300"/>
    </row>
    <row r="186" spans="1:23" x14ac:dyDescent="0.35">
      <c r="A186" s="300"/>
      <c r="B186" s="300"/>
      <c r="C186" s="300"/>
      <c r="D186" s="300"/>
      <c r="E186" s="300"/>
      <c r="F186" s="300"/>
      <c r="G186" s="300"/>
      <c r="H186" s="300"/>
      <c r="I186" s="300"/>
      <c r="J186" s="300"/>
      <c r="K186" s="300"/>
      <c r="L186" s="300"/>
      <c r="M186" s="300"/>
      <c r="N186" s="300"/>
      <c r="O186" s="300"/>
      <c r="P186" s="300"/>
      <c r="Q186" s="300"/>
      <c r="R186" s="300"/>
      <c r="S186" s="300"/>
      <c r="T186" s="300"/>
      <c r="U186" s="300"/>
      <c r="V186" s="300"/>
      <c r="W186" s="300"/>
    </row>
    <row r="187" spans="1:23" x14ac:dyDescent="0.35">
      <c r="A187" s="300"/>
      <c r="B187" s="300"/>
      <c r="C187" s="300"/>
      <c r="D187" s="300"/>
      <c r="E187" s="300"/>
      <c r="F187" s="300"/>
      <c r="G187" s="300"/>
      <c r="H187" s="300"/>
      <c r="I187" s="300"/>
      <c r="J187" s="300"/>
      <c r="K187" s="300"/>
      <c r="L187" s="300"/>
      <c r="M187" s="300"/>
      <c r="N187" s="300"/>
      <c r="O187" s="300"/>
      <c r="P187" s="300"/>
      <c r="Q187" s="300"/>
      <c r="R187" s="300"/>
      <c r="S187" s="300"/>
      <c r="T187" s="300"/>
      <c r="U187" s="300"/>
      <c r="V187" s="300"/>
      <c r="W187" s="300"/>
    </row>
    <row r="188" spans="1:23" x14ac:dyDescent="0.35">
      <c r="A188" s="300"/>
      <c r="B188" s="300"/>
      <c r="C188" s="300"/>
      <c r="D188" s="300"/>
      <c r="E188" s="300"/>
      <c r="F188" s="300"/>
      <c r="G188" s="300"/>
      <c r="H188" s="300"/>
      <c r="I188" s="300"/>
      <c r="J188" s="300"/>
      <c r="K188" s="300"/>
      <c r="L188" s="300"/>
      <c r="M188" s="300"/>
      <c r="N188" s="300"/>
      <c r="O188" s="300"/>
      <c r="P188" s="300"/>
      <c r="Q188" s="300"/>
      <c r="R188" s="300"/>
      <c r="S188" s="300"/>
      <c r="T188" s="300"/>
      <c r="U188" s="300"/>
      <c r="V188" s="300"/>
      <c r="W188" s="300"/>
    </row>
  </sheetData>
  <mergeCells count="5">
    <mergeCell ref="A1:H10"/>
    <mergeCell ref="I1:V5"/>
    <mergeCell ref="I6:V8"/>
    <mergeCell ref="I9:V10"/>
    <mergeCell ref="A11:W18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zoomScale="70" zoomScaleNormal="70" workbookViewId="0">
      <selection activeCell="N16" sqref="N16"/>
    </sheetView>
  </sheetViews>
  <sheetFormatPr defaultRowHeight="14.5" x14ac:dyDescent="0.35"/>
  <cols>
    <col min="1" max="1" width="3.6328125" customWidth="1"/>
  </cols>
  <sheetData>
    <row r="1" spans="1:21" ht="14.5" customHeight="1" x14ac:dyDescent="0.35">
      <c r="B1" s="300"/>
      <c r="C1" s="300"/>
      <c r="D1" s="300"/>
      <c r="E1" s="301" t="s">
        <v>1</v>
      </c>
      <c r="F1" s="301"/>
      <c r="G1" s="301"/>
      <c r="H1" s="301"/>
      <c r="I1" s="301"/>
    </row>
    <row r="2" spans="1:21" ht="14.5" customHeight="1" x14ac:dyDescent="0.35">
      <c r="B2" s="300"/>
      <c r="C2" s="300"/>
      <c r="D2" s="300"/>
      <c r="E2" s="301"/>
      <c r="F2" s="301"/>
      <c r="G2" s="301"/>
      <c r="H2" s="301"/>
      <c r="I2" s="301"/>
    </row>
    <row r="3" spans="1:21" ht="14.5" customHeight="1" x14ac:dyDescent="0.35">
      <c r="B3" s="300"/>
      <c r="C3" s="300"/>
      <c r="D3" s="300"/>
      <c r="E3" s="301"/>
      <c r="F3" s="301"/>
      <c r="G3" s="301"/>
      <c r="H3" s="301"/>
      <c r="I3" s="301"/>
    </row>
    <row r="4" spans="1:21" ht="9" customHeight="1" x14ac:dyDescent="0.35">
      <c r="B4" s="300"/>
      <c r="C4" s="300"/>
      <c r="D4" s="300"/>
      <c r="E4" s="301"/>
      <c r="F4" s="301"/>
      <c r="G4" s="301"/>
      <c r="H4" s="301"/>
      <c r="I4" s="301"/>
    </row>
    <row r="5" spans="1:21" ht="24.5" customHeight="1" x14ac:dyDescent="0.35">
      <c r="A5" s="306" t="s">
        <v>112</v>
      </c>
      <c r="B5" s="306"/>
      <c r="C5" s="306"/>
      <c r="D5" s="306"/>
      <c r="E5" s="306"/>
      <c r="F5" s="306"/>
      <c r="G5" s="306"/>
      <c r="H5" s="306"/>
      <c r="I5" s="306"/>
    </row>
    <row r="6" spans="1:21" ht="44" customHeight="1" x14ac:dyDescent="0.35">
      <c r="A6" s="249" t="s">
        <v>119</v>
      </c>
      <c r="B6" s="304" t="s">
        <v>118</v>
      </c>
      <c r="C6" s="304"/>
      <c r="D6" s="304"/>
      <c r="E6" s="304"/>
      <c r="F6" s="304"/>
      <c r="G6" s="304"/>
      <c r="H6" s="304"/>
      <c r="I6" s="304"/>
      <c r="K6" s="248"/>
      <c r="L6" s="247"/>
      <c r="M6" s="247"/>
      <c r="N6" s="247"/>
      <c r="O6" s="247"/>
      <c r="P6" s="247"/>
      <c r="Q6" s="247"/>
      <c r="R6" s="247"/>
      <c r="S6" s="247"/>
      <c r="T6" s="247"/>
      <c r="U6" s="247"/>
    </row>
    <row r="7" spans="1:21" ht="7.5" customHeight="1" x14ac:dyDescent="0.35">
      <c r="A7" s="250"/>
      <c r="B7" s="305"/>
      <c r="C7" s="305"/>
      <c r="D7" s="305"/>
      <c r="E7" s="305"/>
      <c r="F7" s="305"/>
      <c r="G7" s="305"/>
      <c r="H7" s="305"/>
      <c r="I7" s="305"/>
      <c r="L7" s="247"/>
      <c r="M7" s="247"/>
      <c r="N7" s="247"/>
      <c r="O7" s="247"/>
      <c r="P7" s="247"/>
      <c r="Q7" s="247"/>
      <c r="R7" s="247"/>
      <c r="S7" s="247"/>
      <c r="T7" s="247"/>
      <c r="U7" s="247"/>
    </row>
    <row r="8" spans="1:21" ht="42.5" customHeight="1" x14ac:dyDescent="0.35">
      <c r="A8" s="250" t="s">
        <v>120</v>
      </c>
      <c r="B8" s="304" t="s">
        <v>113</v>
      </c>
      <c r="C8" s="304"/>
      <c r="D8" s="304"/>
      <c r="E8" s="304"/>
      <c r="F8" s="304"/>
      <c r="G8" s="304"/>
      <c r="H8" s="304"/>
      <c r="I8" s="304"/>
      <c r="L8" s="247"/>
      <c r="M8" s="247"/>
      <c r="N8" s="247"/>
      <c r="O8" s="247"/>
      <c r="P8" s="247"/>
      <c r="Q8" s="247"/>
      <c r="R8" s="247"/>
      <c r="S8" s="247"/>
      <c r="T8" s="247"/>
      <c r="U8" s="247"/>
    </row>
    <row r="9" spans="1:21" ht="7.5" customHeight="1" x14ac:dyDescent="0.35">
      <c r="A9" s="250"/>
      <c r="B9" s="305"/>
      <c r="C9" s="305"/>
      <c r="D9" s="305"/>
      <c r="E9" s="305"/>
      <c r="F9" s="305"/>
      <c r="G9" s="305"/>
      <c r="H9" s="305"/>
      <c r="I9" s="305"/>
      <c r="L9" s="247"/>
      <c r="M9" s="247"/>
      <c r="N9" s="247"/>
      <c r="O9" s="247"/>
      <c r="P9" s="247"/>
      <c r="Q9" s="247"/>
      <c r="R9" s="247"/>
      <c r="S9" s="247"/>
      <c r="T9" s="247"/>
      <c r="U9" s="247"/>
    </row>
    <row r="10" spans="1:21" ht="58" customHeight="1" x14ac:dyDescent="0.35">
      <c r="A10" s="250" t="s">
        <v>121</v>
      </c>
      <c r="B10" s="304" t="s">
        <v>114</v>
      </c>
      <c r="C10" s="304"/>
      <c r="D10" s="304"/>
      <c r="E10" s="304"/>
      <c r="F10" s="304"/>
      <c r="G10" s="304"/>
      <c r="H10" s="304"/>
      <c r="I10" s="304"/>
      <c r="L10" s="247"/>
      <c r="M10" s="247"/>
      <c r="N10" s="247"/>
      <c r="O10" s="247"/>
      <c r="P10" s="247"/>
      <c r="Q10" s="247"/>
      <c r="R10" s="247"/>
      <c r="S10" s="247"/>
      <c r="T10" s="247"/>
      <c r="U10" s="247"/>
    </row>
    <row r="11" spans="1:21" ht="7.5" customHeight="1" x14ac:dyDescent="0.35">
      <c r="A11" s="250"/>
      <c r="B11" s="305"/>
      <c r="C11" s="305"/>
      <c r="D11" s="305"/>
      <c r="E11" s="305"/>
      <c r="F11" s="305"/>
      <c r="G11" s="305"/>
      <c r="H11" s="305"/>
      <c r="I11" s="305"/>
      <c r="L11" s="247"/>
      <c r="M11" s="247"/>
      <c r="N11" s="247"/>
      <c r="O11" s="247"/>
      <c r="P11" s="247"/>
      <c r="Q11" s="247"/>
      <c r="R11" s="247"/>
      <c r="S11" s="247"/>
      <c r="T11" s="247"/>
      <c r="U11" s="247"/>
    </row>
    <row r="12" spans="1:21" ht="30.5" customHeight="1" x14ac:dyDescent="0.35">
      <c r="A12" s="250" t="s">
        <v>122</v>
      </c>
      <c r="B12" s="310" t="s">
        <v>127</v>
      </c>
      <c r="C12" s="310"/>
      <c r="D12" s="310"/>
      <c r="E12" s="310"/>
      <c r="F12" s="310"/>
      <c r="G12" s="310"/>
      <c r="H12" s="310"/>
      <c r="I12" s="310"/>
      <c r="L12" s="247"/>
      <c r="M12" s="247"/>
      <c r="N12" s="247"/>
      <c r="O12" s="247"/>
      <c r="P12" s="247"/>
      <c r="Q12" s="247"/>
      <c r="R12" s="247"/>
      <c r="S12" s="247"/>
      <c r="T12" s="247"/>
      <c r="U12" s="247"/>
    </row>
    <row r="13" spans="1:21" ht="7.5" customHeight="1" x14ac:dyDescent="0.35">
      <c r="A13" s="250"/>
      <c r="B13" s="305"/>
      <c r="C13" s="305"/>
      <c r="D13" s="305"/>
      <c r="E13" s="305"/>
      <c r="F13" s="305"/>
      <c r="G13" s="305"/>
      <c r="H13" s="305"/>
      <c r="I13" s="305"/>
      <c r="L13" s="247"/>
      <c r="M13" s="247"/>
      <c r="N13" s="247"/>
      <c r="O13" s="247"/>
      <c r="P13" s="247"/>
      <c r="Q13" s="247"/>
      <c r="R13" s="247"/>
      <c r="S13" s="247"/>
      <c r="T13" s="247"/>
      <c r="U13" s="247"/>
    </row>
    <row r="14" spans="1:21" ht="30.5" customHeight="1" x14ac:dyDescent="0.35">
      <c r="A14" s="250" t="s">
        <v>123</v>
      </c>
      <c r="B14" s="310" t="s">
        <v>115</v>
      </c>
      <c r="C14" s="310"/>
      <c r="D14" s="310"/>
      <c r="E14" s="310"/>
      <c r="F14" s="310"/>
      <c r="G14" s="310"/>
      <c r="H14" s="310"/>
      <c r="I14" s="310"/>
      <c r="L14" s="247"/>
      <c r="M14" s="247"/>
      <c r="N14" s="247"/>
      <c r="O14" s="247"/>
      <c r="P14" s="247"/>
      <c r="Q14" s="247"/>
      <c r="R14" s="247"/>
      <c r="S14" s="247"/>
      <c r="T14" s="247"/>
      <c r="U14" s="247"/>
    </row>
    <row r="15" spans="1:21" ht="7.5" customHeight="1" x14ac:dyDescent="0.35">
      <c r="A15" s="250"/>
      <c r="B15" s="307"/>
      <c r="C15" s="308"/>
      <c r="D15" s="308"/>
      <c r="E15" s="308"/>
      <c r="F15" s="308"/>
      <c r="G15" s="308"/>
      <c r="H15" s="308"/>
      <c r="I15" s="309"/>
      <c r="L15" s="247"/>
      <c r="M15" s="247"/>
      <c r="N15" s="247"/>
      <c r="O15" s="247"/>
      <c r="P15" s="247"/>
      <c r="Q15" s="247"/>
      <c r="R15" s="247"/>
      <c r="S15" s="247"/>
      <c r="T15" s="247"/>
      <c r="U15" s="247"/>
    </row>
    <row r="16" spans="1:21" ht="56.5" customHeight="1" x14ac:dyDescent="0.35">
      <c r="A16" s="250" t="s">
        <v>124</v>
      </c>
      <c r="B16" s="304" t="s">
        <v>116</v>
      </c>
      <c r="C16" s="304"/>
      <c r="D16" s="304"/>
      <c r="E16" s="304"/>
      <c r="F16" s="304"/>
      <c r="G16" s="304"/>
      <c r="H16" s="304"/>
      <c r="I16" s="304"/>
      <c r="L16" s="247"/>
      <c r="M16" s="247"/>
      <c r="N16" s="247"/>
      <c r="O16" s="247"/>
      <c r="P16" s="247"/>
      <c r="Q16" s="247"/>
      <c r="R16" s="247"/>
      <c r="S16" s="247"/>
      <c r="T16" s="247"/>
      <c r="U16" s="247"/>
    </row>
    <row r="17" spans="1:21" ht="7.5" customHeight="1" x14ac:dyDescent="0.35">
      <c r="A17" s="250"/>
      <c r="B17" s="305"/>
      <c r="C17" s="305"/>
      <c r="D17" s="305"/>
      <c r="E17" s="305"/>
      <c r="F17" s="305"/>
      <c r="G17" s="305"/>
      <c r="H17" s="305"/>
      <c r="I17" s="305"/>
      <c r="L17" s="247"/>
      <c r="M17" s="247"/>
      <c r="N17" s="247"/>
      <c r="O17" s="247"/>
      <c r="P17" s="247"/>
      <c r="Q17" s="247"/>
      <c r="R17" s="247"/>
      <c r="S17" s="247"/>
      <c r="T17" s="247"/>
      <c r="U17" s="247"/>
    </row>
    <row r="18" spans="1:21" ht="56.5" customHeight="1" x14ac:dyDescent="0.35">
      <c r="A18" s="250" t="s">
        <v>125</v>
      </c>
      <c r="B18" s="304" t="s">
        <v>128</v>
      </c>
      <c r="C18" s="304"/>
      <c r="D18" s="304"/>
      <c r="E18" s="304"/>
      <c r="F18" s="304"/>
      <c r="G18" s="304"/>
      <c r="H18" s="304"/>
      <c r="I18" s="304"/>
      <c r="J18" s="246"/>
      <c r="K18" s="246"/>
      <c r="L18" s="247"/>
      <c r="M18" s="247"/>
      <c r="N18" s="247"/>
      <c r="O18" s="247"/>
      <c r="P18" s="247"/>
      <c r="Q18" s="247"/>
      <c r="R18" s="247"/>
      <c r="S18" s="247"/>
      <c r="T18" s="247"/>
      <c r="U18" s="247"/>
    </row>
    <row r="19" spans="1:21" ht="7.5" customHeight="1" x14ac:dyDescent="0.35">
      <c r="A19" s="250"/>
      <c r="B19" s="305"/>
      <c r="C19" s="305"/>
      <c r="D19" s="305"/>
      <c r="E19" s="305"/>
      <c r="F19" s="305"/>
      <c r="G19" s="305"/>
      <c r="H19" s="305"/>
      <c r="I19" s="305"/>
      <c r="J19" s="246"/>
      <c r="K19" s="246"/>
      <c r="L19" s="247"/>
      <c r="M19" s="247"/>
      <c r="N19" s="247"/>
      <c r="O19" s="247"/>
      <c r="P19" s="247"/>
      <c r="Q19" s="247"/>
      <c r="R19" s="247"/>
      <c r="S19" s="247"/>
      <c r="T19" s="247"/>
      <c r="U19" s="247"/>
    </row>
    <row r="20" spans="1:21" ht="29" customHeight="1" x14ac:dyDescent="0.35">
      <c r="A20" s="250" t="s">
        <v>126</v>
      </c>
      <c r="B20" s="311" t="s">
        <v>117</v>
      </c>
      <c r="C20" s="311"/>
      <c r="D20" s="311"/>
      <c r="E20" s="311"/>
      <c r="F20" s="311"/>
      <c r="G20" s="311"/>
      <c r="H20" s="311"/>
      <c r="I20" s="311"/>
      <c r="L20" s="247"/>
      <c r="M20" s="247"/>
      <c r="N20" s="247"/>
      <c r="O20" s="247"/>
      <c r="P20" s="247"/>
      <c r="Q20" s="247"/>
      <c r="R20" s="247"/>
      <c r="S20" s="247"/>
      <c r="T20" s="247"/>
      <c r="U20" s="247"/>
    </row>
    <row r="21" spans="1:21" ht="7.5" customHeight="1" x14ac:dyDescent="0.35">
      <c r="B21" s="300"/>
      <c r="C21" s="300"/>
      <c r="D21" s="300"/>
      <c r="E21" s="300"/>
      <c r="F21" s="300"/>
      <c r="G21" s="300"/>
      <c r="H21" s="300"/>
      <c r="I21" s="300"/>
      <c r="L21" s="247"/>
      <c r="M21" s="247"/>
      <c r="N21" s="247"/>
      <c r="O21" s="247"/>
      <c r="P21" s="247"/>
      <c r="Q21" s="247"/>
      <c r="R21" s="247"/>
      <c r="S21" s="247"/>
      <c r="T21" s="247"/>
      <c r="U21" s="247"/>
    </row>
    <row r="22" spans="1:21" x14ac:dyDescent="0.35">
      <c r="L22" s="247"/>
      <c r="M22" s="247"/>
      <c r="N22" s="247"/>
      <c r="O22" s="247"/>
      <c r="P22" s="247"/>
      <c r="Q22" s="247"/>
      <c r="R22" s="247"/>
      <c r="S22" s="247"/>
      <c r="T22" s="247"/>
      <c r="U22" s="247"/>
    </row>
    <row r="23" spans="1:21" x14ac:dyDescent="0.35">
      <c r="L23" s="247"/>
      <c r="M23" s="247"/>
      <c r="N23" s="247"/>
      <c r="O23" s="247"/>
      <c r="P23" s="247"/>
      <c r="Q23" s="247"/>
      <c r="R23" s="247"/>
      <c r="S23" s="247"/>
      <c r="T23" s="247"/>
      <c r="U23" s="247"/>
    </row>
  </sheetData>
  <mergeCells count="19">
    <mergeCell ref="B13:I13"/>
    <mergeCell ref="B17:I17"/>
    <mergeCell ref="B19:I19"/>
    <mergeCell ref="B21:I21"/>
    <mergeCell ref="A5:I5"/>
    <mergeCell ref="B15:I15"/>
    <mergeCell ref="B12:I12"/>
    <mergeCell ref="B14:I14"/>
    <mergeCell ref="B16:I16"/>
    <mergeCell ref="B18:I18"/>
    <mergeCell ref="B20:I20"/>
    <mergeCell ref="B11:I11"/>
    <mergeCell ref="B1:D4"/>
    <mergeCell ref="E1:I4"/>
    <mergeCell ref="B6:I6"/>
    <mergeCell ref="B8:I8"/>
    <mergeCell ref="B10:I10"/>
    <mergeCell ref="B7:I7"/>
    <mergeCell ref="B9:I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61"/>
  <sheetViews>
    <sheetView zoomScale="70" zoomScaleNormal="70" workbookViewId="0">
      <pane xSplit="12" ySplit="12" topLeftCell="M22" activePane="bottomRight" state="frozen"/>
      <selection pane="topRight" activeCell="M1" sqref="M1"/>
      <selection pane="bottomLeft" activeCell="A13" sqref="A13"/>
      <selection pane="bottomRight" activeCell="R14" sqref="R14"/>
    </sheetView>
  </sheetViews>
  <sheetFormatPr defaultRowHeight="14" x14ac:dyDescent="0.3"/>
  <cols>
    <col min="1" max="1" width="26.26953125" style="3" customWidth="1"/>
    <col min="2" max="2" width="8.81640625" style="3" customWidth="1"/>
    <col min="3" max="3" width="8.453125" style="3" customWidth="1"/>
    <col min="4" max="16384" width="8.7265625" style="3"/>
  </cols>
  <sheetData>
    <row r="1" spans="1:171" ht="14" customHeight="1" x14ac:dyDescent="0.3">
      <c r="A1" s="314"/>
      <c r="B1" s="315" t="s">
        <v>2</v>
      </c>
      <c r="C1" s="315"/>
      <c r="D1" s="315"/>
      <c r="E1" s="315"/>
      <c r="F1" s="315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</row>
    <row r="2" spans="1:171" ht="14" customHeight="1" x14ac:dyDescent="0.3">
      <c r="A2" s="314"/>
      <c r="B2" s="315"/>
      <c r="C2" s="315"/>
      <c r="D2" s="315"/>
      <c r="E2" s="315"/>
      <c r="F2" s="315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</row>
    <row r="3" spans="1:171" ht="20.5" customHeight="1" x14ac:dyDescent="0.3">
      <c r="A3" s="314"/>
      <c r="B3" s="315"/>
      <c r="C3" s="315"/>
      <c r="D3" s="315"/>
      <c r="E3" s="315"/>
      <c r="F3" s="315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</row>
    <row r="4" spans="1:171" ht="28" customHeight="1" x14ac:dyDescent="0.3">
      <c r="A4" s="306" t="s">
        <v>59</v>
      </c>
      <c r="B4" s="306"/>
      <c r="C4" s="306"/>
      <c r="D4" s="306"/>
      <c r="E4" s="306"/>
      <c r="F4" s="306"/>
      <c r="G4" s="30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</row>
    <row r="5" spans="1:171" s="36" customFormat="1" ht="28" customHeight="1" x14ac:dyDescent="0.3">
      <c r="A5" s="41" t="s">
        <v>56</v>
      </c>
      <c r="B5" s="41"/>
      <c r="C5" s="41"/>
      <c r="D5" s="41"/>
      <c r="E5" s="41"/>
      <c r="F5" s="41"/>
      <c r="G5" s="41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</row>
    <row r="6" spans="1:171" s="2" customFormat="1" ht="15" customHeight="1" x14ac:dyDescent="0.3">
      <c r="A6" s="33" t="s">
        <v>33</v>
      </c>
      <c r="B6" s="22"/>
      <c r="C6" s="22"/>
      <c r="D6" s="23"/>
      <c r="E6" s="23"/>
      <c r="F6" s="23"/>
      <c r="G6" s="23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5"/>
    </row>
    <row r="7" spans="1:171" x14ac:dyDescent="0.3">
      <c r="A7" s="34" t="s">
        <v>3</v>
      </c>
      <c r="B7" s="18"/>
      <c r="C7" s="18"/>
      <c r="D7" s="18"/>
      <c r="E7" s="18"/>
      <c r="F7" s="18"/>
      <c r="G7" s="18"/>
      <c r="H7" s="18"/>
      <c r="I7" s="42"/>
      <c r="J7" s="84">
        <v>8.9999999999999998E-4</v>
      </c>
      <c r="K7" s="84">
        <v>5.9999999999999995E-4</v>
      </c>
      <c r="L7" s="84">
        <v>4.0000000000000002E-4</v>
      </c>
      <c r="M7" s="84">
        <v>1E-4</v>
      </c>
      <c r="N7" s="84">
        <v>-2.0000000000000001E-4</v>
      </c>
      <c r="O7" s="84">
        <v>-5.0000000000000001E-4</v>
      </c>
      <c r="P7" s="84">
        <v>-8.0000000000000004E-4</v>
      </c>
      <c r="Q7" s="84">
        <v>-1E-3</v>
      </c>
      <c r="R7" s="84">
        <v>-1.1999999999999999E-3</v>
      </c>
      <c r="S7" s="84">
        <v>-1.4E-3</v>
      </c>
      <c r="T7" s="84">
        <v>-1.6000000000000001E-3</v>
      </c>
      <c r="U7" s="84">
        <v>-1.8E-3</v>
      </c>
      <c r="V7" s="84">
        <v>-1.9E-3</v>
      </c>
      <c r="W7" s="84">
        <v>-2E-3</v>
      </c>
      <c r="X7" s="84">
        <v>-2.0999999999999999E-3</v>
      </c>
      <c r="Y7" s="84">
        <v>-2.0999999999999999E-3</v>
      </c>
      <c r="Z7" s="84">
        <v>-2.2000000000000001E-3</v>
      </c>
      <c r="AA7" s="84">
        <v>-2.2000000000000001E-3</v>
      </c>
      <c r="AB7" s="84">
        <v>-2.2000000000000001E-3</v>
      </c>
      <c r="AC7" s="84">
        <v>-2.3E-3</v>
      </c>
      <c r="AD7" s="84">
        <v>-2.3E-3</v>
      </c>
      <c r="AE7" s="84">
        <v>-2.3E-3</v>
      </c>
      <c r="AF7" s="84">
        <v>-2.3E-3</v>
      </c>
      <c r="AG7" s="84">
        <v>-2.3E-3</v>
      </c>
      <c r="AH7" s="84">
        <v>-2.3E-3</v>
      </c>
      <c r="AI7" s="84">
        <v>-2.3E-3</v>
      </c>
      <c r="AJ7" s="84">
        <v>-2.3E-3</v>
      </c>
      <c r="AK7" s="84">
        <v>-2.2000000000000001E-3</v>
      </c>
    </row>
    <row r="8" spans="1:171" x14ac:dyDescent="0.3">
      <c r="A8" s="34" t="s">
        <v>4</v>
      </c>
      <c r="B8" s="18"/>
      <c r="C8" s="18"/>
      <c r="D8" s="18"/>
      <c r="E8" s="18"/>
      <c r="F8" s="18"/>
      <c r="G8" s="18"/>
      <c r="H8" s="18"/>
      <c r="I8" s="19"/>
      <c r="J8" s="85">
        <v>0.14000000000000001</v>
      </c>
      <c r="K8" s="85">
        <v>0.06</v>
      </c>
      <c r="L8" s="85">
        <v>0.04</v>
      </c>
      <c r="M8" s="87">
        <v>0.03</v>
      </c>
      <c r="N8" s="85">
        <v>0.03</v>
      </c>
      <c r="O8" s="20">
        <v>1.4999999999999999E-2</v>
      </c>
      <c r="P8" s="20">
        <v>1.4999999999999999E-2</v>
      </c>
      <c r="Q8" s="20">
        <v>1.4999999999999999E-2</v>
      </c>
      <c r="R8" s="20">
        <v>1.2500000000000001E-2</v>
      </c>
      <c r="S8" s="20">
        <v>1.2500000000000001E-2</v>
      </c>
      <c r="T8" s="20">
        <v>1.2500000000000001E-2</v>
      </c>
      <c r="U8" s="20">
        <v>1.2500000000000001E-2</v>
      </c>
      <c r="V8" s="20">
        <v>1.2500000000000001E-2</v>
      </c>
      <c r="W8" s="20">
        <v>1.2500000000000001E-2</v>
      </c>
      <c r="X8" s="20">
        <v>1.2500000000000001E-2</v>
      </c>
      <c r="Y8" s="20">
        <v>1.2500000000000001E-2</v>
      </c>
      <c r="Z8" s="20">
        <v>1.2500000000000001E-2</v>
      </c>
      <c r="AA8" s="20">
        <v>1.2500000000000001E-2</v>
      </c>
      <c r="AB8" s="21">
        <v>0.01</v>
      </c>
      <c r="AC8" s="21">
        <v>0.01</v>
      </c>
      <c r="AD8" s="21">
        <v>0.01</v>
      </c>
      <c r="AE8" s="21">
        <v>0.01</v>
      </c>
      <c r="AF8" s="21">
        <v>0.01</v>
      </c>
      <c r="AG8" s="21">
        <v>0.01</v>
      </c>
      <c r="AH8" s="21">
        <v>0.01</v>
      </c>
      <c r="AI8" s="21">
        <v>0.01</v>
      </c>
      <c r="AJ8" s="21">
        <v>0.01</v>
      </c>
      <c r="AK8" s="26">
        <v>0.01</v>
      </c>
    </row>
    <row r="9" spans="1:171" x14ac:dyDescent="0.3">
      <c r="A9" s="34" t="s">
        <v>5</v>
      </c>
      <c r="B9" s="18"/>
      <c r="C9" s="18"/>
      <c r="D9" s="18"/>
      <c r="E9" s="18"/>
      <c r="F9" s="18"/>
      <c r="G9" s="18"/>
      <c r="H9" s="18"/>
      <c r="I9" s="19"/>
      <c r="J9" s="87">
        <v>-5.0000000000000001E-3</v>
      </c>
      <c r="K9" s="87">
        <v>-5.0000000000000001E-3</v>
      </c>
      <c r="L9" s="87">
        <v>-5.0000000000000001E-3</v>
      </c>
      <c r="M9" s="87">
        <v>-5.0000000000000001E-3</v>
      </c>
      <c r="N9" s="87">
        <v>-5.0000000000000001E-3</v>
      </c>
      <c r="O9" s="20">
        <v>-5.0000000000000001E-3</v>
      </c>
      <c r="P9" s="20">
        <v>-5.0000000000000001E-3</v>
      </c>
      <c r="Q9" s="20">
        <v>-5.0000000000000001E-3</v>
      </c>
      <c r="R9" s="20">
        <v>-0.01</v>
      </c>
      <c r="S9" s="20">
        <v>-0.01</v>
      </c>
      <c r="T9" s="20">
        <v>-0.01</v>
      </c>
      <c r="U9" s="20">
        <v>-0.01</v>
      </c>
      <c r="V9" s="20">
        <v>-0.01</v>
      </c>
      <c r="W9" s="20">
        <v>-0.01</v>
      </c>
      <c r="X9" s="20">
        <v>-0.01</v>
      </c>
      <c r="Y9" s="20">
        <v>-0.01</v>
      </c>
      <c r="Z9" s="20">
        <v>-0.01</v>
      </c>
      <c r="AA9" s="20">
        <v>-0.01</v>
      </c>
      <c r="AB9" s="20">
        <v>-1.4999999999999999E-2</v>
      </c>
      <c r="AC9" s="20">
        <v>-1.4999999999999999E-2</v>
      </c>
      <c r="AD9" s="20">
        <v>-1.4999999999999999E-2</v>
      </c>
      <c r="AE9" s="20">
        <v>-1.4999999999999999E-2</v>
      </c>
      <c r="AF9" s="20">
        <v>-1.4999999999999999E-2</v>
      </c>
      <c r="AG9" s="20">
        <v>-1.4999999999999999E-2</v>
      </c>
      <c r="AH9" s="20">
        <v>-1.4999999999999999E-2</v>
      </c>
      <c r="AI9" s="20">
        <v>-1.4999999999999999E-2</v>
      </c>
      <c r="AJ9" s="20">
        <v>-1.4999999999999999E-2</v>
      </c>
      <c r="AK9" s="27">
        <v>-1.4999999999999999E-2</v>
      </c>
    </row>
    <row r="10" spans="1:171" x14ac:dyDescent="0.3">
      <c r="A10" s="35" t="s">
        <v>6</v>
      </c>
      <c r="B10" s="28"/>
      <c r="C10" s="28"/>
      <c r="D10" s="29"/>
      <c r="E10" s="29"/>
      <c r="F10" s="29"/>
      <c r="G10" s="29"/>
      <c r="H10" s="29"/>
      <c r="I10" s="30"/>
      <c r="J10" s="31">
        <f t="shared" ref="J10:O10" si="0">J7+J8+J9</f>
        <v>0.13590000000000002</v>
      </c>
      <c r="K10" s="31">
        <f t="shared" si="0"/>
        <v>5.5600000000000004E-2</v>
      </c>
      <c r="L10" s="31">
        <f t="shared" si="0"/>
        <v>3.5400000000000001E-2</v>
      </c>
      <c r="M10" s="31">
        <f t="shared" si="0"/>
        <v>2.5099999999999997E-2</v>
      </c>
      <c r="N10" s="31">
        <f t="shared" si="0"/>
        <v>2.4799999999999999E-2</v>
      </c>
      <c r="O10" s="31">
        <f t="shared" si="0"/>
        <v>9.499999999999998E-3</v>
      </c>
      <c r="P10" s="31">
        <f t="shared" ref="P10:AK10" si="1">P7+P8+P9</f>
        <v>9.1999999999999998E-3</v>
      </c>
      <c r="Q10" s="31">
        <f t="shared" si="1"/>
        <v>8.9999999999999976E-3</v>
      </c>
      <c r="R10" s="31">
        <f t="shared" si="1"/>
        <v>1.3000000000000008E-3</v>
      </c>
      <c r="S10" s="31">
        <f t="shared" si="1"/>
        <v>1.1000000000000003E-3</v>
      </c>
      <c r="T10" s="31">
        <f t="shared" si="1"/>
        <v>8.9999999999999976E-4</v>
      </c>
      <c r="U10" s="31">
        <f t="shared" si="1"/>
        <v>7.0000000000000097E-4</v>
      </c>
      <c r="V10" s="31">
        <f t="shared" si="1"/>
        <v>5.9999999999999984E-4</v>
      </c>
      <c r="W10" s="31">
        <f t="shared" si="1"/>
        <v>5.0000000000000044E-4</v>
      </c>
      <c r="X10" s="31">
        <f t="shared" si="1"/>
        <v>4.0000000000000105E-4</v>
      </c>
      <c r="Y10" s="31">
        <f t="shared" si="1"/>
        <v>4.0000000000000105E-4</v>
      </c>
      <c r="Z10" s="31">
        <f t="shared" si="1"/>
        <v>2.9999999999999992E-4</v>
      </c>
      <c r="AA10" s="31">
        <f t="shared" si="1"/>
        <v>2.9999999999999992E-4</v>
      </c>
      <c r="AB10" s="31">
        <f t="shared" si="1"/>
        <v>-7.1999999999999998E-3</v>
      </c>
      <c r="AC10" s="31">
        <f t="shared" si="1"/>
        <v>-7.2999999999999992E-3</v>
      </c>
      <c r="AD10" s="31">
        <f t="shared" si="1"/>
        <v>-7.2999999999999992E-3</v>
      </c>
      <c r="AE10" s="31">
        <f t="shared" si="1"/>
        <v>-7.2999999999999992E-3</v>
      </c>
      <c r="AF10" s="31">
        <f t="shared" si="1"/>
        <v>-7.2999999999999992E-3</v>
      </c>
      <c r="AG10" s="31">
        <f t="shared" si="1"/>
        <v>-7.2999999999999992E-3</v>
      </c>
      <c r="AH10" s="31">
        <f t="shared" si="1"/>
        <v>-7.2999999999999992E-3</v>
      </c>
      <c r="AI10" s="31">
        <f t="shared" si="1"/>
        <v>-7.2999999999999992E-3</v>
      </c>
      <c r="AJ10" s="31">
        <f t="shared" si="1"/>
        <v>-7.2999999999999992E-3</v>
      </c>
      <c r="AK10" s="32">
        <f t="shared" si="1"/>
        <v>-7.1999999999999998E-3</v>
      </c>
    </row>
    <row r="11" spans="1:171" ht="16" thickBot="1" x14ac:dyDescent="0.4">
      <c r="A11" s="4"/>
      <c r="B11" s="4"/>
      <c r="C11" s="4"/>
      <c r="D11" s="5"/>
      <c r="E11" s="5"/>
      <c r="F11" s="5"/>
      <c r="G11" s="5"/>
      <c r="H11" s="5"/>
      <c r="L11" s="6"/>
    </row>
    <row r="12" spans="1:171" ht="15" customHeight="1" thickBot="1" x14ac:dyDescent="0.4">
      <c r="A12" s="15" t="s">
        <v>7</v>
      </c>
      <c r="B12" s="312" t="s">
        <v>8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</row>
    <row r="13" spans="1:171" ht="14.5" thickBot="1" x14ac:dyDescent="0.35">
      <c r="A13" s="16"/>
      <c r="B13" s="75" t="s">
        <v>38</v>
      </c>
      <c r="C13" s="76" t="s">
        <v>37</v>
      </c>
      <c r="D13" s="77" t="s">
        <v>36</v>
      </c>
      <c r="E13" s="78" t="s">
        <v>35</v>
      </c>
      <c r="F13" s="77" t="s">
        <v>34</v>
      </c>
      <c r="G13" s="78" t="s">
        <v>9</v>
      </c>
      <c r="H13" s="77" t="s">
        <v>10</v>
      </c>
      <c r="I13" s="77" t="s">
        <v>58</v>
      </c>
      <c r="J13" s="79">
        <v>2023</v>
      </c>
      <c r="K13" s="77">
        <v>2024</v>
      </c>
      <c r="L13" s="77">
        <v>2025</v>
      </c>
      <c r="M13" s="77">
        <v>2026</v>
      </c>
      <c r="N13" s="77">
        <v>2027</v>
      </c>
      <c r="O13" s="79">
        <v>2028</v>
      </c>
      <c r="P13" s="279">
        <v>2029</v>
      </c>
      <c r="Q13" s="257">
        <v>2030</v>
      </c>
      <c r="R13" s="257">
        <v>2031</v>
      </c>
      <c r="S13" s="257">
        <v>2032</v>
      </c>
      <c r="T13" s="257">
        <v>2033</v>
      </c>
      <c r="U13" s="79">
        <v>2034</v>
      </c>
      <c r="V13" s="257">
        <v>2035</v>
      </c>
      <c r="W13" s="257">
        <v>2036</v>
      </c>
      <c r="X13" s="257">
        <v>2037</v>
      </c>
      <c r="Y13" s="257">
        <v>2038</v>
      </c>
      <c r="Z13" s="257">
        <v>2039</v>
      </c>
      <c r="AA13" s="77">
        <v>2040</v>
      </c>
      <c r="AB13" s="257">
        <v>2041</v>
      </c>
      <c r="AC13" s="257">
        <v>2042</v>
      </c>
      <c r="AD13" s="257">
        <v>2043</v>
      </c>
      <c r="AE13" s="257">
        <v>2044</v>
      </c>
      <c r="AF13" s="257">
        <v>2045</v>
      </c>
      <c r="AG13" s="257">
        <v>2046</v>
      </c>
      <c r="AH13" s="257">
        <v>2047</v>
      </c>
      <c r="AI13" s="257">
        <v>2048</v>
      </c>
      <c r="AJ13" s="257">
        <v>2049</v>
      </c>
      <c r="AK13" s="257">
        <v>2050</v>
      </c>
    </row>
    <row r="14" spans="1:171" x14ac:dyDescent="0.3">
      <c r="A14" s="7" t="s">
        <v>11</v>
      </c>
      <c r="B14" s="97">
        <v>2327</v>
      </c>
      <c r="C14" s="97">
        <v>2554</v>
      </c>
      <c r="D14" s="44">
        <v>2713</v>
      </c>
      <c r="E14" s="45">
        <v>2280.5</v>
      </c>
      <c r="F14" s="44">
        <v>2736</v>
      </c>
      <c r="G14" s="45">
        <v>2574</v>
      </c>
      <c r="H14" s="46">
        <v>2739</v>
      </c>
      <c r="I14" s="88">
        <v>2260.8000000000002</v>
      </c>
      <c r="J14" s="44">
        <v>2326</v>
      </c>
      <c r="K14" s="45">
        <f>J14*1.1</f>
        <v>2558.6000000000004</v>
      </c>
      <c r="L14" s="44">
        <v>2597</v>
      </c>
      <c r="M14" s="44">
        <f>L14*1.001</f>
        <v>2599.5969999999998</v>
      </c>
      <c r="N14" s="266">
        <f>M14*1.001</f>
        <v>2602.1965969999997</v>
      </c>
      <c r="O14" s="268">
        <f>N14*1.0095</f>
        <v>2626.9174646714996</v>
      </c>
      <c r="P14" s="266">
        <f>O14*1.0091</f>
        <v>2650.8224136000103</v>
      </c>
      <c r="Q14" s="123">
        <f>P14*1.009</f>
        <v>2674.6798153224104</v>
      </c>
      <c r="R14" s="268">
        <f>Q14*1.0013</f>
        <v>2678.1568990823298</v>
      </c>
      <c r="S14" s="261">
        <f>R14*1.0011</f>
        <v>2681.1028716713208</v>
      </c>
      <c r="T14" s="268">
        <f>S14*1.0009</f>
        <v>2683.5158642558249</v>
      </c>
      <c r="U14" s="52">
        <f>T14*1.0007</f>
        <v>2685.3943253608036</v>
      </c>
      <c r="V14" s="261">
        <f>U14*1.0006</f>
        <v>2687.0055619560198</v>
      </c>
      <c r="W14" s="268">
        <f>V14*1.0005</f>
        <v>2688.3490647369977</v>
      </c>
      <c r="X14" s="261">
        <f>W14*1.0004</f>
        <v>2689.4244043628923</v>
      </c>
      <c r="Y14" s="123">
        <f t="shared" ref="Y14:Y34" si="2">X14*1.0004</f>
        <v>2690.5001741246374</v>
      </c>
      <c r="Z14" s="272">
        <f>Y14*1.0003</f>
        <v>2691.3073241768748</v>
      </c>
      <c r="AA14" s="45">
        <f t="shared" ref="AA14:AA34" si="3">Z14*1.0003</f>
        <v>2692.114716374128</v>
      </c>
      <c r="AB14" s="46">
        <f>AA14*0.9928</f>
        <v>2672.7314904162345</v>
      </c>
      <c r="AC14" s="266">
        <f>AB14*0.9927</f>
        <v>2653.2205505361962</v>
      </c>
      <c r="AD14" s="45">
        <f t="shared" ref="AD14:AE34" si="4">AC14*0.9927</f>
        <v>2633.8520405172821</v>
      </c>
      <c r="AE14" s="266">
        <f t="shared" si="4"/>
        <v>2614.6249206215061</v>
      </c>
      <c r="AF14" s="45">
        <f t="shared" ref="AF14:AH29" si="5">AE14*0.9927</f>
        <v>2595.5381587009692</v>
      </c>
      <c r="AG14" s="266">
        <f t="shared" si="5"/>
        <v>2576.5907301424522</v>
      </c>
      <c r="AH14" s="45">
        <f t="shared" si="5"/>
        <v>2557.7816178124126</v>
      </c>
      <c r="AI14" s="266">
        <f t="shared" ref="AI14:AJ14" si="6">AH14*0.9927</f>
        <v>2539.1098120023821</v>
      </c>
      <c r="AJ14" s="266">
        <f t="shared" si="6"/>
        <v>2520.574310374765</v>
      </c>
      <c r="AK14" s="258">
        <f>AJ14*0.9928</f>
        <v>2502.4261753400669</v>
      </c>
    </row>
    <row r="15" spans="1:171" x14ac:dyDescent="0.3">
      <c r="A15" s="8" t="s">
        <v>12</v>
      </c>
      <c r="B15" s="98">
        <v>797</v>
      </c>
      <c r="C15" s="98">
        <v>824</v>
      </c>
      <c r="D15" s="47">
        <v>901</v>
      </c>
      <c r="E15" s="48">
        <v>651.5</v>
      </c>
      <c r="F15" s="47">
        <v>745.5</v>
      </c>
      <c r="G15" s="48">
        <v>157</v>
      </c>
      <c r="H15" s="49">
        <v>179</v>
      </c>
      <c r="I15" s="89">
        <v>290.39999999999998</v>
      </c>
      <c r="J15" s="47">
        <f t="shared" ref="J15:J17" si="7">I15*1.02</f>
        <v>296.20799999999997</v>
      </c>
      <c r="K15" s="48">
        <v>360</v>
      </c>
      <c r="L15" s="47">
        <v>374</v>
      </c>
      <c r="M15" s="47">
        <f>L15*1.03</f>
        <v>385.22</v>
      </c>
      <c r="N15" s="260">
        <f>M15*1.03</f>
        <v>396.77660000000003</v>
      </c>
      <c r="O15" s="267">
        <f t="shared" ref="O15:O34" si="8">N15*1.0095</f>
        <v>400.54597770000004</v>
      </c>
      <c r="P15" s="260">
        <f>O15*1.0091</f>
        <v>404.19094609707008</v>
      </c>
      <c r="Q15" s="256">
        <f>P15*1.009</f>
        <v>407.82866461194368</v>
      </c>
      <c r="R15" s="267">
        <f>Q15*1.0013</f>
        <v>408.35884187593922</v>
      </c>
      <c r="S15" s="260">
        <f>R15*1.0011</f>
        <v>408.8080366020028</v>
      </c>
      <c r="T15" s="267">
        <f t="shared" ref="T15:T34" si="9">S15*1.0009</f>
        <v>409.17596383494458</v>
      </c>
      <c r="U15" s="49">
        <f t="shared" ref="U15:U34" si="10">T15*1.0007</f>
        <v>409.46238700962903</v>
      </c>
      <c r="V15" s="260">
        <f t="shared" ref="V15:V34" si="11">U15*1.0006</f>
        <v>409.70806444183478</v>
      </c>
      <c r="W15" s="267">
        <f t="shared" ref="W15:W34" si="12">V15*1.0005</f>
        <v>409.91291847405569</v>
      </c>
      <c r="X15" s="260">
        <f t="shared" ref="X15:X34" si="13">W15*1.0004</f>
        <v>410.07688364144531</v>
      </c>
      <c r="Y15" s="256">
        <f t="shared" si="2"/>
        <v>410.24091439490189</v>
      </c>
      <c r="Z15" s="274">
        <f>Y15*1.0003</f>
        <v>410.36398666922037</v>
      </c>
      <c r="AA15" s="267">
        <f t="shared" si="3"/>
        <v>410.48709586522114</v>
      </c>
      <c r="AB15" s="49">
        <f t="shared" ref="AB15:AB34" si="14">AA15*0.9928</f>
        <v>407.53158877499158</v>
      </c>
      <c r="AC15" s="260">
        <f t="shared" ref="AC15:AC34" si="15">AB15*0.9927</f>
        <v>404.55660817693416</v>
      </c>
      <c r="AD15" s="267">
        <f t="shared" si="4"/>
        <v>401.60334493724258</v>
      </c>
      <c r="AE15" s="260">
        <f t="shared" ref="AE15:AF15" si="16">AD15*0.9927</f>
        <v>398.67164051920071</v>
      </c>
      <c r="AF15" s="267">
        <f t="shared" si="16"/>
        <v>395.76133754341055</v>
      </c>
      <c r="AG15" s="260">
        <f t="shared" si="5"/>
        <v>392.87227977934367</v>
      </c>
      <c r="AH15" s="267">
        <f t="shared" ref="AH15:AJ15" si="17">AG15*0.9927</f>
        <v>390.00431213695447</v>
      </c>
      <c r="AI15" s="260">
        <f t="shared" si="17"/>
        <v>387.15728065835469</v>
      </c>
      <c r="AJ15" s="260">
        <f t="shared" si="17"/>
        <v>384.33103250954872</v>
      </c>
      <c r="AK15" s="256">
        <f t="shared" ref="AK15:AK34" si="18">AJ15*0.9928</f>
        <v>381.56384907547999</v>
      </c>
    </row>
    <row r="16" spans="1:171" x14ac:dyDescent="0.3">
      <c r="A16" s="8" t="s">
        <v>13</v>
      </c>
      <c r="B16" s="98">
        <v>281</v>
      </c>
      <c r="C16" s="98">
        <v>274</v>
      </c>
      <c r="D16" s="47">
        <v>631.5</v>
      </c>
      <c r="E16" s="48">
        <v>682.5</v>
      </c>
      <c r="F16" s="47">
        <v>602</v>
      </c>
      <c r="G16" s="48">
        <v>124</v>
      </c>
      <c r="H16" s="49">
        <v>166</v>
      </c>
      <c r="I16" s="89">
        <v>219.60000000000002</v>
      </c>
      <c r="J16" s="47">
        <f t="shared" si="7"/>
        <v>223.99200000000002</v>
      </c>
      <c r="K16" s="48">
        <f>J16*1.4</f>
        <v>313.58879999999999</v>
      </c>
      <c r="L16" s="53">
        <v>333</v>
      </c>
      <c r="M16" s="53">
        <f t="shared" ref="L16:N31" si="19">L16*1.03</f>
        <v>342.99</v>
      </c>
      <c r="N16" s="262">
        <f>M16*1.05</f>
        <v>360.1395</v>
      </c>
      <c r="O16" s="54">
        <f t="shared" si="8"/>
        <v>363.56082524999999</v>
      </c>
      <c r="P16" s="262">
        <f t="shared" ref="P16:P33" si="20">O16*1.0091</f>
        <v>366.86922875977501</v>
      </c>
      <c r="Q16" s="112">
        <f t="shared" ref="Q16:Q34" si="21">P16*1.009</f>
        <v>370.17105181861297</v>
      </c>
      <c r="R16" s="54">
        <f t="shared" ref="R16:R34" si="22">Q16*1.0013</f>
        <v>370.65227418597721</v>
      </c>
      <c r="S16" s="262">
        <f t="shared" ref="S16:S34" si="23">R16*1.0011</f>
        <v>371.05999168758183</v>
      </c>
      <c r="T16" s="54">
        <f t="shared" si="9"/>
        <v>371.39394568010061</v>
      </c>
      <c r="U16" s="55">
        <f t="shared" si="10"/>
        <v>371.65392144207664</v>
      </c>
      <c r="V16" s="262">
        <f t="shared" si="11"/>
        <v>371.87691379494186</v>
      </c>
      <c r="W16" s="54">
        <f t="shared" si="12"/>
        <v>372.06285225183933</v>
      </c>
      <c r="X16" s="262">
        <f t="shared" si="13"/>
        <v>372.21167739274006</v>
      </c>
      <c r="Y16" s="112">
        <f t="shared" si="2"/>
        <v>372.36056206369716</v>
      </c>
      <c r="Z16" s="276">
        <f t="shared" ref="Z16:Z34" si="24">Y16*1.0003</f>
        <v>372.47227023231625</v>
      </c>
      <c r="AA16" s="54">
        <f t="shared" si="3"/>
        <v>372.58401191338595</v>
      </c>
      <c r="AB16" s="55">
        <f t="shared" si="14"/>
        <v>369.90140702760959</v>
      </c>
      <c r="AC16" s="262">
        <f t="shared" si="15"/>
        <v>367.20112675630804</v>
      </c>
      <c r="AD16" s="54">
        <f t="shared" si="4"/>
        <v>364.52055853098699</v>
      </c>
      <c r="AE16" s="262">
        <f t="shared" ref="AE16:AF16" si="25">AD16*0.9927</f>
        <v>361.8595584537108</v>
      </c>
      <c r="AF16" s="54">
        <f t="shared" si="25"/>
        <v>359.2179836769987</v>
      </c>
      <c r="AG16" s="262">
        <f t="shared" si="5"/>
        <v>356.59569239615661</v>
      </c>
      <c r="AH16" s="54">
        <f t="shared" ref="AH16:AJ16" si="26">AG16*0.9927</f>
        <v>353.99254384166466</v>
      </c>
      <c r="AI16" s="262">
        <f t="shared" si="26"/>
        <v>351.40839827162051</v>
      </c>
      <c r="AJ16" s="262">
        <f t="shared" si="26"/>
        <v>348.84311696423771</v>
      </c>
      <c r="AK16" s="112">
        <f t="shared" si="18"/>
        <v>346.33144652209518</v>
      </c>
    </row>
    <row r="17" spans="1:37" x14ac:dyDescent="0.3">
      <c r="A17" s="10" t="s">
        <v>14</v>
      </c>
      <c r="B17" s="99">
        <v>2343</v>
      </c>
      <c r="C17" s="99">
        <v>2333</v>
      </c>
      <c r="D17" s="50">
        <v>2444.5</v>
      </c>
      <c r="E17" s="51">
        <v>2248</v>
      </c>
      <c r="F17" s="50">
        <v>1936</v>
      </c>
      <c r="G17" s="51">
        <v>1344</v>
      </c>
      <c r="H17" s="52">
        <v>1137</v>
      </c>
      <c r="I17" s="90">
        <v>1323.6</v>
      </c>
      <c r="J17" s="50">
        <f t="shared" si="7"/>
        <v>1350.0719999999999</v>
      </c>
      <c r="K17" s="51">
        <v>1453</v>
      </c>
      <c r="L17" s="47">
        <v>1499</v>
      </c>
      <c r="M17" s="47">
        <f t="shared" si="19"/>
        <v>1543.97</v>
      </c>
      <c r="N17" s="260">
        <f t="shared" si="19"/>
        <v>1590.2891</v>
      </c>
      <c r="O17" s="267">
        <f t="shared" si="8"/>
        <v>1605.3968464500001</v>
      </c>
      <c r="P17" s="260">
        <f t="shared" si="20"/>
        <v>1620.0059577526954</v>
      </c>
      <c r="Q17" s="256">
        <f t="shared" si="21"/>
        <v>1634.5860113724696</v>
      </c>
      <c r="R17" s="267">
        <f t="shared" si="22"/>
        <v>1636.7109731872538</v>
      </c>
      <c r="S17" s="260">
        <f t="shared" si="23"/>
        <v>1638.51135525776</v>
      </c>
      <c r="T17" s="267">
        <f t="shared" si="9"/>
        <v>1639.9860154774917</v>
      </c>
      <c r="U17" s="49">
        <f t="shared" si="10"/>
        <v>1641.1340056883259</v>
      </c>
      <c r="V17" s="260">
        <f t="shared" si="11"/>
        <v>1642.1186860917389</v>
      </c>
      <c r="W17" s="267">
        <f t="shared" si="12"/>
        <v>1642.9397454347848</v>
      </c>
      <c r="X17" s="260">
        <f t="shared" si="13"/>
        <v>1643.5969213329586</v>
      </c>
      <c r="Y17" s="256">
        <f t="shared" si="2"/>
        <v>1644.2543601014918</v>
      </c>
      <c r="Z17" s="256">
        <f t="shared" si="24"/>
        <v>1644.7476364095221</v>
      </c>
      <c r="AA17" s="267">
        <f t="shared" si="3"/>
        <v>1645.2410607004449</v>
      </c>
      <c r="AB17" s="49">
        <f t="shared" si="14"/>
        <v>1633.3953250634017</v>
      </c>
      <c r="AC17" s="260">
        <f t="shared" si="15"/>
        <v>1621.471539190439</v>
      </c>
      <c r="AD17" s="267">
        <f t="shared" si="4"/>
        <v>1609.6347969543488</v>
      </c>
      <c r="AE17" s="260">
        <f t="shared" ref="AE17:AF17" si="27">AD17*0.9927</f>
        <v>1597.8844629365822</v>
      </c>
      <c r="AF17" s="267">
        <f t="shared" si="27"/>
        <v>1586.2199063571452</v>
      </c>
      <c r="AG17" s="260">
        <f t="shared" si="5"/>
        <v>1574.6405010407382</v>
      </c>
      <c r="AH17" s="267">
        <f t="shared" ref="AH17:AJ17" si="28">AG17*0.9927</f>
        <v>1563.1456253831409</v>
      </c>
      <c r="AI17" s="260">
        <f t="shared" si="28"/>
        <v>1551.7346623178439</v>
      </c>
      <c r="AJ17" s="260">
        <f t="shared" si="28"/>
        <v>1540.4069992829236</v>
      </c>
      <c r="AK17" s="256">
        <f t="shared" si="18"/>
        <v>1529.3160688880866</v>
      </c>
    </row>
    <row r="18" spans="1:37" x14ac:dyDescent="0.3">
      <c r="A18" s="11" t="s">
        <v>15</v>
      </c>
      <c r="B18" s="100">
        <v>86</v>
      </c>
      <c r="C18" s="100">
        <v>77</v>
      </c>
      <c r="D18" s="53">
        <v>431.5</v>
      </c>
      <c r="E18" s="54">
        <v>444</v>
      </c>
      <c r="F18" s="53">
        <v>512</v>
      </c>
      <c r="G18" s="54">
        <v>54</v>
      </c>
      <c r="H18" s="55">
        <v>53</v>
      </c>
      <c r="I18" s="91">
        <v>49.199999999999996</v>
      </c>
      <c r="J18" s="53">
        <f>I18+(I18*4)</f>
        <v>245.99999999999997</v>
      </c>
      <c r="K18" s="54">
        <f>J18*1.5</f>
        <v>368.99999999999994</v>
      </c>
      <c r="L18" s="47">
        <f t="shared" si="19"/>
        <v>380.06999999999994</v>
      </c>
      <c r="M18" s="47">
        <f t="shared" si="19"/>
        <v>391.47209999999995</v>
      </c>
      <c r="N18" s="260">
        <f t="shared" si="19"/>
        <v>403.21626299999997</v>
      </c>
      <c r="O18" s="267">
        <f t="shared" si="8"/>
        <v>407.04681749849999</v>
      </c>
      <c r="P18" s="260">
        <f t="shared" si="20"/>
        <v>410.75094353773636</v>
      </c>
      <c r="Q18" s="256">
        <f t="shared" si="21"/>
        <v>414.44770202957596</v>
      </c>
      <c r="R18" s="267">
        <f t="shared" si="22"/>
        <v>414.98648404221444</v>
      </c>
      <c r="S18" s="260">
        <f t="shared" si="23"/>
        <v>415.4429691746609</v>
      </c>
      <c r="T18" s="267">
        <f t="shared" si="9"/>
        <v>415.81686784691806</v>
      </c>
      <c r="U18" s="49">
        <f t="shared" si="10"/>
        <v>416.10793965441087</v>
      </c>
      <c r="V18" s="260">
        <f t="shared" si="11"/>
        <v>416.35760441820349</v>
      </c>
      <c r="W18" s="267">
        <f t="shared" si="12"/>
        <v>416.56578322041258</v>
      </c>
      <c r="X18" s="260">
        <f t="shared" si="13"/>
        <v>416.73240953370072</v>
      </c>
      <c r="Y18" s="256">
        <f t="shared" si="2"/>
        <v>416.89910249751421</v>
      </c>
      <c r="Z18" s="256">
        <f t="shared" si="24"/>
        <v>417.02417222826347</v>
      </c>
      <c r="AA18" s="267">
        <f t="shared" si="3"/>
        <v>417.14927947993192</v>
      </c>
      <c r="AB18" s="49">
        <f t="shared" si="14"/>
        <v>414.14580466767643</v>
      </c>
      <c r="AC18" s="260">
        <f t="shared" si="15"/>
        <v>411.12254029360241</v>
      </c>
      <c r="AD18" s="267">
        <f t="shared" si="4"/>
        <v>408.12134574945912</v>
      </c>
      <c r="AE18" s="260">
        <f t="shared" ref="AE18:AF18" si="29">AD18*0.9927</f>
        <v>405.14205992548807</v>
      </c>
      <c r="AF18" s="267">
        <f t="shared" si="29"/>
        <v>402.18452288803201</v>
      </c>
      <c r="AG18" s="260">
        <f t="shared" si="5"/>
        <v>399.24857587094937</v>
      </c>
      <c r="AH18" s="267">
        <f t="shared" ref="AH18:AJ18" si="30">AG18*0.9927</f>
        <v>396.33406126709144</v>
      </c>
      <c r="AI18" s="260">
        <f t="shared" si="30"/>
        <v>393.4408226198417</v>
      </c>
      <c r="AJ18" s="260">
        <f t="shared" si="30"/>
        <v>390.56870461471686</v>
      </c>
      <c r="AK18" s="256">
        <f t="shared" si="18"/>
        <v>387.75660994149092</v>
      </c>
    </row>
    <row r="19" spans="1:37" x14ac:dyDescent="0.3">
      <c r="A19" s="10" t="s">
        <v>16</v>
      </c>
      <c r="B19" s="99">
        <v>2275</v>
      </c>
      <c r="C19" s="99">
        <v>2249</v>
      </c>
      <c r="D19" s="50">
        <v>2442.5</v>
      </c>
      <c r="E19" s="51">
        <v>2397</v>
      </c>
      <c r="F19" s="50">
        <v>2644</v>
      </c>
      <c r="G19" s="51">
        <v>1403</v>
      </c>
      <c r="H19" s="52">
        <v>1475</v>
      </c>
      <c r="I19" s="89">
        <v>1838.3999999999999</v>
      </c>
      <c r="J19" s="47">
        <f t="shared" ref="J19:J21" si="31">I19*1.02</f>
        <v>1875.1679999999999</v>
      </c>
      <c r="K19" s="51">
        <f>J19*1.01</f>
        <v>1893.91968</v>
      </c>
      <c r="L19" s="50">
        <f t="shared" si="19"/>
        <v>1950.7372703999999</v>
      </c>
      <c r="M19" s="50">
        <f t="shared" si="19"/>
        <v>2009.259388512</v>
      </c>
      <c r="N19" s="261">
        <f t="shared" si="19"/>
        <v>2069.5371701673598</v>
      </c>
      <c r="O19" s="268">
        <f t="shared" si="8"/>
        <v>2089.19777328395</v>
      </c>
      <c r="P19" s="261">
        <f t="shared" si="20"/>
        <v>2108.2094730208341</v>
      </c>
      <c r="Q19" s="123">
        <f t="shared" si="21"/>
        <v>2127.1833582780214</v>
      </c>
      <c r="R19" s="268">
        <f t="shared" si="22"/>
        <v>2129.948696643783</v>
      </c>
      <c r="S19" s="261">
        <f t="shared" si="23"/>
        <v>2132.2916402100914</v>
      </c>
      <c r="T19" s="268">
        <f t="shared" si="9"/>
        <v>2134.2107026862805</v>
      </c>
      <c r="U19" s="52">
        <f t="shared" si="10"/>
        <v>2135.7046501781606</v>
      </c>
      <c r="V19" s="261">
        <f t="shared" si="11"/>
        <v>2136.9860729682673</v>
      </c>
      <c r="W19" s="268">
        <f t="shared" si="12"/>
        <v>2138.0545660047515</v>
      </c>
      <c r="X19" s="261">
        <f t="shared" si="13"/>
        <v>2138.9097878311532</v>
      </c>
      <c r="Y19" s="123">
        <f t="shared" si="2"/>
        <v>2139.7653517462854</v>
      </c>
      <c r="Z19" s="272">
        <f t="shared" si="24"/>
        <v>2140.4072813518092</v>
      </c>
      <c r="AA19" s="271">
        <f t="shared" si="3"/>
        <v>2141.0494035362144</v>
      </c>
      <c r="AB19" s="52">
        <f t="shared" si="14"/>
        <v>2125.6338478307539</v>
      </c>
      <c r="AC19" s="261">
        <f t="shared" si="15"/>
        <v>2110.1167207415892</v>
      </c>
      <c r="AD19" s="268">
        <f t="shared" si="4"/>
        <v>2094.7128686801757</v>
      </c>
      <c r="AE19" s="261">
        <f t="shared" ref="AE19:AF19" si="32">AD19*0.9927</f>
        <v>2079.4214647388103</v>
      </c>
      <c r="AF19" s="268">
        <f t="shared" si="32"/>
        <v>2064.241688046217</v>
      </c>
      <c r="AG19" s="261">
        <f t="shared" si="5"/>
        <v>2049.1727237234795</v>
      </c>
      <c r="AH19" s="268">
        <f t="shared" ref="AH19:AJ19" si="33">AG19*0.9927</f>
        <v>2034.2137628402982</v>
      </c>
      <c r="AI19" s="261">
        <f t="shared" si="33"/>
        <v>2019.3640023715641</v>
      </c>
      <c r="AJ19" s="261">
        <f t="shared" si="33"/>
        <v>2004.6226451542518</v>
      </c>
      <c r="AK19" s="272">
        <f t="shared" si="18"/>
        <v>1990.1893621091413</v>
      </c>
    </row>
    <row r="20" spans="1:37" x14ac:dyDescent="0.3">
      <c r="A20" s="13" t="s">
        <v>17</v>
      </c>
      <c r="B20" s="101">
        <v>231</v>
      </c>
      <c r="C20" s="101">
        <v>180</v>
      </c>
      <c r="D20" s="47">
        <v>259</v>
      </c>
      <c r="E20" s="48">
        <v>246</v>
      </c>
      <c r="F20" s="47">
        <v>238.5</v>
      </c>
      <c r="G20" s="48">
        <v>227</v>
      </c>
      <c r="H20" s="49">
        <v>218</v>
      </c>
      <c r="I20" s="89">
        <v>229.20000000000002</v>
      </c>
      <c r="J20" s="47">
        <f t="shared" si="31"/>
        <v>233.78400000000002</v>
      </c>
      <c r="K20" s="48">
        <v>239</v>
      </c>
      <c r="L20" s="47">
        <v>249</v>
      </c>
      <c r="M20" s="47">
        <f t="shared" si="19"/>
        <v>256.47000000000003</v>
      </c>
      <c r="N20" s="260">
        <f t="shared" si="19"/>
        <v>264.16410000000002</v>
      </c>
      <c r="O20" s="267">
        <f t="shared" si="8"/>
        <v>266.67365895000006</v>
      </c>
      <c r="P20" s="260">
        <f t="shared" si="20"/>
        <v>269.1003892464451</v>
      </c>
      <c r="Q20" s="256">
        <f t="shared" si="21"/>
        <v>271.52229274966311</v>
      </c>
      <c r="R20" s="267">
        <f t="shared" si="22"/>
        <v>271.87527173023767</v>
      </c>
      <c r="S20" s="260">
        <f t="shared" si="23"/>
        <v>272.17433452914094</v>
      </c>
      <c r="T20" s="267">
        <f t="shared" si="9"/>
        <v>272.41929143021713</v>
      </c>
      <c r="U20" s="49">
        <f t="shared" si="10"/>
        <v>272.60998493421823</v>
      </c>
      <c r="V20" s="260">
        <f t="shared" si="11"/>
        <v>272.77355092517877</v>
      </c>
      <c r="W20" s="267">
        <f t="shared" si="12"/>
        <v>272.90993770064136</v>
      </c>
      <c r="X20" s="260">
        <f t="shared" si="13"/>
        <v>273.01910167572163</v>
      </c>
      <c r="Y20" s="256">
        <f t="shared" si="2"/>
        <v>273.12830931639189</v>
      </c>
      <c r="Z20" s="274">
        <f t="shared" si="24"/>
        <v>273.2102478091868</v>
      </c>
      <c r="AA20" s="273">
        <f t="shared" si="3"/>
        <v>273.29221088352955</v>
      </c>
      <c r="AB20" s="49">
        <f t="shared" si="14"/>
        <v>271.32450696516815</v>
      </c>
      <c r="AC20" s="260">
        <f t="shared" si="15"/>
        <v>269.34383806432243</v>
      </c>
      <c r="AD20" s="267">
        <f t="shared" si="4"/>
        <v>267.37762804645286</v>
      </c>
      <c r="AE20" s="260">
        <f t="shared" ref="AE20:AF20" si="34">AD20*0.9927</f>
        <v>265.42577136171377</v>
      </c>
      <c r="AF20" s="267">
        <f t="shared" si="34"/>
        <v>263.4881632307733</v>
      </c>
      <c r="AG20" s="260">
        <f t="shared" si="5"/>
        <v>261.56469963918863</v>
      </c>
      <c r="AH20" s="267">
        <f t="shared" ref="AH20:AJ20" si="35">AG20*0.9927</f>
        <v>259.65527733182256</v>
      </c>
      <c r="AI20" s="260">
        <f t="shared" si="35"/>
        <v>257.75979380730024</v>
      </c>
      <c r="AJ20" s="260">
        <f t="shared" si="35"/>
        <v>255.87814731250697</v>
      </c>
      <c r="AK20" s="274">
        <f t="shared" si="18"/>
        <v>254.03582465185693</v>
      </c>
    </row>
    <row r="21" spans="1:37" x14ac:dyDescent="0.3">
      <c r="A21" s="13" t="s">
        <v>18</v>
      </c>
      <c r="B21" s="101">
        <v>1054</v>
      </c>
      <c r="C21" s="101">
        <v>1118</v>
      </c>
      <c r="D21" s="47">
        <v>246.5</v>
      </c>
      <c r="E21" s="48">
        <v>231.5</v>
      </c>
      <c r="F21" s="47">
        <v>275.5</v>
      </c>
      <c r="G21" s="48">
        <v>158</v>
      </c>
      <c r="H21" s="49">
        <v>160</v>
      </c>
      <c r="I21" s="89">
        <v>232.79999999999998</v>
      </c>
      <c r="J21" s="47">
        <f t="shared" si="31"/>
        <v>237.45599999999999</v>
      </c>
      <c r="K21" s="48">
        <f>J21*1.1</f>
        <v>261.20159999999998</v>
      </c>
      <c r="L21" s="47">
        <f t="shared" si="19"/>
        <v>269.03764799999999</v>
      </c>
      <c r="M21" s="47">
        <f t="shared" si="19"/>
        <v>277.10877743999998</v>
      </c>
      <c r="N21" s="260">
        <f t="shared" si="19"/>
        <v>285.42204076320002</v>
      </c>
      <c r="O21" s="267">
        <f t="shared" si="8"/>
        <v>288.13355015045045</v>
      </c>
      <c r="P21" s="260">
        <f t="shared" si="20"/>
        <v>290.75556545681957</v>
      </c>
      <c r="Q21" s="256">
        <f t="shared" si="21"/>
        <v>293.3723655459309</v>
      </c>
      <c r="R21" s="267">
        <f t="shared" si="22"/>
        <v>293.75374962114063</v>
      </c>
      <c r="S21" s="260">
        <f t="shared" si="23"/>
        <v>294.07687874572389</v>
      </c>
      <c r="T21" s="267">
        <f t="shared" si="9"/>
        <v>294.34154793659502</v>
      </c>
      <c r="U21" s="49">
        <f t="shared" si="10"/>
        <v>294.54758702015062</v>
      </c>
      <c r="V21" s="260">
        <f t="shared" si="11"/>
        <v>294.72431557236268</v>
      </c>
      <c r="W21" s="267">
        <f t="shared" si="12"/>
        <v>294.87167773014886</v>
      </c>
      <c r="X21" s="260">
        <f t="shared" si="13"/>
        <v>294.98962640124091</v>
      </c>
      <c r="Y21" s="256">
        <f t="shared" si="2"/>
        <v>295.10762225180139</v>
      </c>
      <c r="Z21" s="274">
        <f t="shared" si="24"/>
        <v>295.19615453847695</v>
      </c>
      <c r="AA21" s="273">
        <f t="shared" si="3"/>
        <v>295.28471338483848</v>
      </c>
      <c r="AB21" s="49">
        <f t="shared" si="14"/>
        <v>293.15866344846768</v>
      </c>
      <c r="AC21" s="260">
        <f t="shared" si="15"/>
        <v>291.01860520529385</v>
      </c>
      <c r="AD21" s="267">
        <f t="shared" si="4"/>
        <v>288.89416938729522</v>
      </c>
      <c r="AE21" s="260">
        <f t="shared" ref="AE21:AF21" si="36">AD21*0.9927</f>
        <v>286.78524195076795</v>
      </c>
      <c r="AF21" s="267">
        <f t="shared" si="36"/>
        <v>284.69170968452738</v>
      </c>
      <c r="AG21" s="260">
        <f t="shared" si="5"/>
        <v>282.61346020383036</v>
      </c>
      <c r="AH21" s="267">
        <f t="shared" ref="AH21:AJ21" si="37">AG21*0.9927</f>
        <v>280.5503819443424</v>
      </c>
      <c r="AI21" s="260">
        <f t="shared" si="37"/>
        <v>278.5023641561487</v>
      </c>
      <c r="AJ21" s="260">
        <f t="shared" si="37"/>
        <v>276.46929689780882</v>
      </c>
      <c r="AK21" s="274">
        <f t="shared" si="18"/>
        <v>274.47871796014459</v>
      </c>
    </row>
    <row r="22" spans="1:37" x14ac:dyDescent="0.3">
      <c r="A22" s="13" t="s">
        <v>19</v>
      </c>
      <c r="B22" s="101">
        <v>295</v>
      </c>
      <c r="C22" s="101">
        <v>311</v>
      </c>
      <c r="D22" s="47">
        <v>1105.5</v>
      </c>
      <c r="E22" s="48">
        <v>1096.5</v>
      </c>
      <c r="F22" s="47">
        <v>1102.5</v>
      </c>
      <c r="G22" s="48">
        <v>1021</v>
      </c>
      <c r="H22" s="49">
        <v>1051</v>
      </c>
      <c r="I22" s="89">
        <v>1006.8000000000001</v>
      </c>
      <c r="J22" s="47">
        <v>1031</v>
      </c>
      <c r="K22" s="48">
        <f>J22*1.05</f>
        <v>1082.55</v>
      </c>
      <c r="L22" s="53">
        <v>1265</v>
      </c>
      <c r="M22" s="53">
        <f t="shared" si="19"/>
        <v>1302.95</v>
      </c>
      <c r="N22" s="262">
        <f t="shared" si="19"/>
        <v>1342.0385000000001</v>
      </c>
      <c r="O22" s="54">
        <f t="shared" si="8"/>
        <v>1354.7878657500003</v>
      </c>
      <c r="P22" s="262">
        <f t="shared" si="20"/>
        <v>1367.1164353283255</v>
      </c>
      <c r="Q22" s="112">
        <f t="shared" si="21"/>
        <v>1379.4204832462801</v>
      </c>
      <c r="R22" s="54">
        <f t="shared" si="22"/>
        <v>1381.2137298745004</v>
      </c>
      <c r="S22" s="262">
        <f t="shared" si="23"/>
        <v>1382.7330649773623</v>
      </c>
      <c r="T22" s="54">
        <f t="shared" si="9"/>
        <v>1383.9775247358418</v>
      </c>
      <c r="U22" s="55">
        <f t="shared" si="10"/>
        <v>1384.9463090031568</v>
      </c>
      <c r="V22" s="262">
        <f t="shared" si="11"/>
        <v>1385.7772767885585</v>
      </c>
      <c r="W22" s="54">
        <f t="shared" si="12"/>
        <v>1386.4701654269527</v>
      </c>
      <c r="X22" s="262">
        <f t="shared" si="13"/>
        <v>1387.0247534931234</v>
      </c>
      <c r="Y22" s="112">
        <f t="shared" si="2"/>
        <v>1387.5795633945206</v>
      </c>
      <c r="Z22" s="276">
        <f t="shared" si="24"/>
        <v>1387.995837263539</v>
      </c>
      <c r="AA22" s="275">
        <f t="shared" si="3"/>
        <v>1388.412236014718</v>
      </c>
      <c r="AB22" s="55">
        <f t="shared" si="14"/>
        <v>1378.4156679154121</v>
      </c>
      <c r="AC22" s="262">
        <f t="shared" si="15"/>
        <v>1368.3532335396296</v>
      </c>
      <c r="AD22" s="54">
        <f t="shared" si="4"/>
        <v>1358.3642549347903</v>
      </c>
      <c r="AE22" s="262">
        <f t="shared" ref="AE22:AF22" si="38">AD22*0.9927</f>
        <v>1348.4481958737663</v>
      </c>
      <c r="AF22" s="54">
        <f t="shared" si="38"/>
        <v>1338.6045240438877</v>
      </c>
      <c r="AG22" s="262">
        <f t="shared" si="5"/>
        <v>1328.8327110183675</v>
      </c>
      <c r="AH22" s="54">
        <f t="shared" ref="AH22:AJ22" si="39">AG22*0.9927</f>
        <v>1319.1322322279334</v>
      </c>
      <c r="AI22" s="262">
        <f t="shared" si="39"/>
        <v>1309.5025669326694</v>
      </c>
      <c r="AJ22" s="262">
        <f t="shared" si="39"/>
        <v>1299.9431981940609</v>
      </c>
      <c r="AK22" s="276">
        <f t="shared" si="18"/>
        <v>1290.5836071670637</v>
      </c>
    </row>
    <row r="23" spans="1:37" x14ac:dyDescent="0.3">
      <c r="A23" s="10" t="s">
        <v>20</v>
      </c>
      <c r="B23" s="99">
        <v>1909</v>
      </c>
      <c r="C23" s="99">
        <v>2066</v>
      </c>
      <c r="D23" s="50">
        <v>2194.5</v>
      </c>
      <c r="E23" s="51">
        <v>2080.5</v>
      </c>
      <c r="F23" s="50">
        <v>1960</v>
      </c>
      <c r="G23" s="51">
        <v>1744</v>
      </c>
      <c r="H23" s="52">
        <v>1749</v>
      </c>
      <c r="I23" s="92">
        <v>1795.1999999999998</v>
      </c>
      <c r="J23" s="56">
        <v>1834</v>
      </c>
      <c r="K23" s="51">
        <v>1890</v>
      </c>
      <c r="L23" s="47">
        <f t="shared" si="19"/>
        <v>1946.7</v>
      </c>
      <c r="M23" s="47">
        <f t="shared" si="19"/>
        <v>2005.1010000000001</v>
      </c>
      <c r="N23" s="260">
        <f t="shared" si="19"/>
        <v>2065.2540300000001</v>
      </c>
      <c r="O23" s="267">
        <f t="shared" si="8"/>
        <v>2084.8739432850002</v>
      </c>
      <c r="P23" s="260">
        <f t="shared" si="20"/>
        <v>2103.8462961688938</v>
      </c>
      <c r="Q23" s="256">
        <f t="shared" si="21"/>
        <v>2122.7809128344138</v>
      </c>
      <c r="R23" s="267">
        <f t="shared" si="22"/>
        <v>2125.5405280210989</v>
      </c>
      <c r="S23" s="260">
        <f t="shared" si="23"/>
        <v>2127.8786226019224</v>
      </c>
      <c r="T23" s="267">
        <f t="shared" si="9"/>
        <v>2129.793713362264</v>
      </c>
      <c r="U23" s="49">
        <f t="shared" si="10"/>
        <v>2131.2845689616174</v>
      </c>
      <c r="V23" s="260">
        <f t="shared" si="11"/>
        <v>2132.5633397029942</v>
      </c>
      <c r="W23" s="267">
        <f t="shared" si="12"/>
        <v>2133.6296213728456</v>
      </c>
      <c r="X23" s="260">
        <f t="shared" si="13"/>
        <v>2134.4830732213945</v>
      </c>
      <c r="Y23" s="256">
        <f t="shared" si="2"/>
        <v>2135.3368664506829</v>
      </c>
      <c r="Z23" s="256">
        <f t="shared" si="24"/>
        <v>2135.9774675106182</v>
      </c>
      <c r="AA23" s="267">
        <f t="shared" si="3"/>
        <v>2136.6182607508713</v>
      </c>
      <c r="AB23" s="49">
        <f t="shared" si="14"/>
        <v>2121.2346092734651</v>
      </c>
      <c r="AC23" s="260">
        <f t="shared" si="15"/>
        <v>2105.7495966257688</v>
      </c>
      <c r="AD23" s="267">
        <f t="shared" si="4"/>
        <v>2090.3776245704007</v>
      </c>
      <c r="AE23" s="260">
        <f t="shared" ref="AE23:AF23" si="40">AD23*0.9927</f>
        <v>2075.1178679110367</v>
      </c>
      <c r="AF23" s="267">
        <f t="shared" si="40"/>
        <v>2059.9695074752863</v>
      </c>
      <c r="AG23" s="260">
        <f t="shared" si="5"/>
        <v>2044.9317300707166</v>
      </c>
      <c r="AH23" s="267">
        <f t="shared" ref="AH23:AJ23" si="41">AG23*0.9927</f>
        <v>2030.0037284412006</v>
      </c>
      <c r="AI23" s="260">
        <f t="shared" si="41"/>
        <v>2015.1847012235799</v>
      </c>
      <c r="AJ23" s="260">
        <f t="shared" si="41"/>
        <v>2000.4738529046479</v>
      </c>
      <c r="AK23" s="256">
        <f t="shared" si="18"/>
        <v>1986.0704411637344</v>
      </c>
    </row>
    <row r="24" spans="1:37" x14ac:dyDescent="0.3">
      <c r="A24" s="10" t="s">
        <v>21</v>
      </c>
      <c r="B24" s="99">
        <v>1912</v>
      </c>
      <c r="C24" s="99">
        <v>1724</v>
      </c>
      <c r="D24" s="50">
        <v>2817</v>
      </c>
      <c r="E24" s="51">
        <v>2798</v>
      </c>
      <c r="F24" s="50">
        <v>2600.5</v>
      </c>
      <c r="G24" s="51">
        <f>1648-394</f>
        <v>1254</v>
      </c>
      <c r="H24" s="52">
        <f>1688-381</f>
        <v>1307</v>
      </c>
      <c r="I24" s="89">
        <v>1396.8000000000002</v>
      </c>
      <c r="J24" s="47">
        <f>I24+(I24*0.5)</f>
        <v>2095.2000000000003</v>
      </c>
      <c r="K24" s="51">
        <v>2178</v>
      </c>
      <c r="L24" s="50">
        <v>2007</v>
      </c>
      <c r="M24" s="50">
        <f t="shared" si="19"/>
        <v>2067.21</v>
      </c>
      <c r="N24" s="261">
        <f t="shared" si="19"/>
        <v>2129.2263000000003</v>
      </c>
      <c r="O24" s="268">
        <f t="shared" si="8"/>
        <v>2149.4539498500003</v>
      </c>
      <c r="P24" s="261">
        <f t="shared" si="20"/>
        <v>2169.0139807936357</v>
      </c>
      <c r="Q24" s="123">
        <f t="shared" si="21"/>
        <v>2188.5351066207782</v>
      </c>
      <c r="R24" s="268">
        <f t="shared" si="22"/>
        <v>2191.3802022593854</v>
      </c>
      <c r="S24" s="261">
        <f t="shared" si="23"/>
        <v>2193.7907204818712</v>
      </c>
      <c r="T24" s="268">
        <f t="shared" si="9"/>
        <v>2195.7651321303047</v>
      </c>
      <c r="U24" s="52">
        <f t="shared" si="10"/>
        <v>2197.3021677227957</v>
      </c>
      <c r="V24" s="261">
        <f t="shared" si="11"/>
        <v>2198.6205490234292</v>
      </c>
      <c r="W24" s="268">
        <f t="shared" si="12"/>
        <v>2199.7198592979407</v>
      </c>
      <c r="X24" s="261">
        <f t="shared" si="13"/>
        <v>2200.5997472416598</v>
      </c>
      <c r="Y24" s="123">
        <f t="shared" si="2"/>
        <v>2201.4799871405562</v>
      </c>
      <c r="Z24" s="272">
        <f t="shared" si="24"/>
        <v>2202.1404311366982</v>
      </c>
      <c r="AA24" s="271">
        <f t="shared" si="3"/>
        <v>2202.8010732660391</v>
      </c>
      <c r="AB24" s="52">
        <f t="shared" si="14"/>
        <v>2186.9409055385236</v>
      </c>
      <c r="AC24" s="261">
        <f t="shared" si="15"/>
        <v>2170.9762369280925</v>
      </c>
      <c r="AD24" s="268">
        <f t="shared" si="4"/>
        <v>2155.1281103985175</v>
      </c>
      <c r="AE24" s="261">
        <f t="shared" ref="AE24:AF24" si="42">AD24*0.9927</f>
        <v>2139.3956751926085</v>
      </c>
      <c r="AF24" s="268">
        <f t="shared" si="42"/>
        <v>2123.7780867637025</v>
      </c>
      <c r="AG24" s="261">
        <f t="shared" si="5"/>
        <v>2108.2745067303276</v>
      </c>
      <c r="AH24" s="268">
        <f t="shared" ref="AH24:AJ24" si="43">AG24*0.9927</f>
        <v>2092.8841028311963</v>
      </c>
      <c r="AI24" s="261">
        <f t="shared" si="43"/>
        <v>2077.6060488805288</v>
      </c>
      <c r="AJ24" s="261">
        <f t="shared" si="43"/>
        <v>2062.4395247237007</v>
      </c>
      <c r="AK24" s="272">
        <f t="shared" si="18"/>
        <v>2047.5899601456902</v>
      </c>
    </row>
    <row r="25" spans="1:37" x14ac:dyDescent="0.3">
      <c r="A25" s="11" t="s">
        <v>22</v>
      </c>
      <c r="B25" s="100">
        <v>96</v>
      </c>
      <c r="C25" s="100">
        <v>75</v>
      </c>
      <c r="D25" s="53">
        <v>399</v>
      </c>
      <c r="E25" s="54">
        <v>327.5</v>
      </c>
      <c r="F25" s="53">
        <v>355</v>
      </c>
      <c r="G25" s="54">
        <v>30</v>
      </c>
      <c r="H25" s="55">
        <v>27</v>
      </c>
      <c r="I25" s="89">
        <v>19.200000000000003</v>
      </c>
      <c r="J25" s="47">
        <v>177</v>
      </c>
      <c r="K25" s="54">
        <f>J25*2.1</f>
        <v>371.7</v>
      </c>
      <c r="L25" s="53">
        <f t="shared" si="19"/>
        <v>382.851</v>
      </c>
      <c r="M25" s="53">
        <f t="shared" si="19"/>
        <v>394.33652999999998</v>
      </c>
      <c r="N25" s="262">
        <f t="shared" si="19"/>
        <v>406.16662589999999</v>
      </c>
      <c r="O25" s="54">
        <f t="shared" si="8"/>
        <v>410.02520884605002</v>
      </c>
      <c r="P25" s="262">
        <f t="shared" si="20"/>
        <v>413.75643824654912</v>
      </c>
      <c r="Q25" s="112">
        <f t="shared" si="21"/>
        <v>417.48024619076801</v>
      </c>
      <c r="R25" s="54">
        <f t="shared" si="22"/>
        <v>418.02297051081604</v>
      </c>
      <c r="S25" s="262">
        <f t="shared" si="23"/>
        <v>418.48279577837798</v>
      </c>
      <c r="T25" s="54">
        <f t="shared" si="9"/>
        <v>418.85943029457849</v>
      </c>
      <c r="U25" s="55">
        <f t="shared" si="10"/>
        <v>419.15263189578468</v>
      </c>
      <c r="V25" s="262">
        <f t="shared" si="11"/>
        <v>419.40412347492213</v>
      </c>
      <c r="W25" s="54">
        <f t="shared" si="12"/>
        <v>419.61382553665959</v>
      </c>
      <c r="X25" s="262">
        <f t="shared" si="13"/>
        <v>419.78167106687425</v>
      </c>
      <c r="Y25" s="112">
        <f t="shared" si="2"/>
        <v>419.94958373530096</v>
      </c>
      <c r="Z25" s="276">
        <f t="shared" si="24"/>
        <v>420.07556861042156</v>
      </c>
      <c r="AA25" s="275">
        <f t="shared" si="3"/>
        <v>420.20159128100465</v>
      </c>
      <c r="AB25" s="55">
        <f t="shared" si="14"/>
        <v>417.1761398237814</v>
      </c>
      <c r="AC25" s="262">
        <f t="shared" si="15"/>
        <v>414.13075400306781</v>
      </c>
      <c r="AD25" s="54">
        <f t="shared" si="4"/>
        <v>411.10759949884545</v>
      </c>
      <c r="AE25" s="262">
        <f t="shared" ref="AE25:AF25" si="44">AD25*0.9927</f>
        <v>408.10651402250386</v>
      </c>
      <c r="AF25" s="54">
        <f t="shared" si="44"/>
        <v>405.1273364701396</v>
      </c>
      <c r="AG25" s="262">
        <f t="shared" si="5"/>
        <v>402.1699069139076</v>
      </c>
      <c r="AH25" s="54">
        <f t="shared" ref="AH25:AJ25" si="45">AG25*0.9927</f>
        <v>399.23406659343607</v>
      </c>
      <c r="AI25" s="262">
        <f t="shared" si="45"/>
        <v>396.31965790730402</v>
      </c>
      <c r="AJ25" s="262">
        <f t="shared" si="45"/>
        <v>393.42652440458073</v>
      </c>
      <c r="AK25" s="276">
        <f t="shared" si="18"/>
        <v>390.59385342886776</v>
      </c>
    </row>
    <row r="26" spans="1:37" x14ac:dyDescent="0.3">
      <c r="A26" s="13" t="s">
        <v>23</v>
      </c>
      <c r="B26" s="101">
        <v>413</v>
      </c>
      <c r="C26" s="101">
        <v>440</v>
      </c>
      <c r="D26" s="47">
        <v>404.5</v>
      </c>
      <c r="E26" s="48">
        <v>393</v>
      </c>
      <c r="F26" s="47">
        <v>368</v>
      </c>
      <c r="G26" s="48">
        <v>211</v>
      </c>
      <c r="H26" s="49">
        <v>263</v>
      </c>
      <c r="I26" s="92">
        <v>120</v>
      </c>
      <c r="J26" s="56">
        <v>125</v>
      </c>
      <c r="K26" s="48">
        <v>152</v>
      </c>
      <c r="L26" s="47">
        <v>163</v>
      </c>
      <c r="M26" s="47">
        <f t="shared" si="19"/>
        <v>167.89000000000001</v>
      </c>
      <c r="N26" s="260">
        <f t="shared" si="19"/>
        <v>172.92670000000001</v>
      </c>
      <c r="O26" s="267">
        <f t="shared" si="8"/>
        <v>174.56950365000003</v>
      </c>
      <c r="P26" s="260">
        <f t="shared" si="20"/>
        <v>176.15808613321505</v>
      </c>
      <c r="Q26" s="256">
        <f t="shared" si="21"/>
        <v>177.74350890841396</v>
      </c>
      <c r="R26" s="267">
        <f t="shared" si="22"/>
        <v>177.9745754699949</v>
      </c>
      <c r="S26" s="260">
        <f t="shared" si="23"/>
        <v>178.17034750301193</v>
      </c>
      <c r="T26" s="267">
        <f t="shared" si="9"/>
        <v>178.33070081576463</v>
      </c>
      <c r="U26" s="49">
        <f t="shared" si="10"/>
        <v>178.45553230633564</v>
      </c>
      <c r="V26" s="260">
        <f t="shared" si="11"/>
        <v>178.56260562571944</v>
      </c>
      <c r="W26" s="267">
        <f t="shared" si="12"/>
        <v>178.65188692853229</v>
      </c>
      <c r="X26" s="260">
        <f t="shared" si="13"/>
        <v>178.7233476833037</v>
      </c>
      <c r="Y26" s="256">
        <f t="shared" si="2"/>
        <v>178.79483702237701</v>
      </c>
      <c r="Z26" s="256">
        <f t="shared" si="24"/>
        <v>178.84847547348372</v>
      </c>
      <c r="AA26" s="267">
        <f t="shared" si="3"/>
        <v>178.90213001612577</v>
      </c>
      <c r="AB26" s="49">
        <f t="shared" si="14"/>
        <v>177.61403468000967</v>
      </c>
      <c r="AC26" s="260">
        <f t="shared" si="15"/>
        <v>176.3174522268456</v>
      </c>
      <c r="AD26" s="267">
        <f t="shared" si="4"/>
        <v>175.03033482558965</v>
      </c>
      <c r="AE26" s="260">
        <f t="shared" ref="AE26:AF26" si="46">AD26*0.9927</f>
        <v>173.75261338136283</v>
      </c>
      <c r="AF26" s="267">
        <f t="shared" si="46"/>
        <v>172.48421930367888</v>
      </c>
      <c r="AG26" s="260">
        <f t="shared" si="5"/>
        <v>171.22508450276203</v>
      </c>
      <c r="AH26" s="267">
        <f t="shared" ref="AH26:AJ26" si="47">AG26*0.9927</f>
        <v>169.97514138589187</v>
      </c>
      <c r="AI26" s="260">
        <f t="shared" si="47"/>
        <v>168.73432285377487</v>
      </c>
      <c r="AJ26" s="260">
        <f t="shared" si="47"/>
        <v>167.50256229694233</v>
      </c>
      <c r="AK26" s="256">
        <f t="shared" si="18"/>
        <v>166.29654384840435</v>
      </c>
    </row>
    <row r="27" spans="1:37" x14ac:dyDescent="0.3">
      <c r="A27" s="10" t="s">
        <v>24</v>
      </c>
      <c r="B27" s="99">
        <v>1134</v>
      </c>
      <c r="C27" s="99">
        <v>1223</v>
      </c>
      <c r="D27" s="50">
        <v>2754.5</v>
      </c>
      <c r="E27" s="51">
        <v>2588</v>
      </c>
      <c r="F27" s="50">
        <v>2190</v>
      </c>
      <c r="G27" s="51">
        <v>960</v>
      </c>
      <c r="H27" s="52">
        <v>451</v>
      </c>
      <c r="I27" s="89">
        <v>963.59999999999991</v>
      </c>
      <c r="J27" s="47">
        <f t="shared" ref="J27:J30" si="48">I27*1.02</f>
        <v>982.87199999999996</v>
      </c>
      <c r="K27" s="51">
        <f>J27*1.1</f>
        <v>1081.1592000000001</v>
      </c>
      <c r="L27" s="56">
        <v>1139</v>
      </c>
      <c r="M27" s="56">
        <f t="shared" si="19"/>
        <v>1173.17</v>
      </c>
      <c r="N27" s="263">
        <v>1207</v>
      </c>
      <c r="O27" s="57">
        <f t="shared" si="8"/>
        <v>1218.4665</v>
      </c>
      <c r="P27" s="263">
        <f t="shared" si="20"/>
        <v>1229.5545451500002</v>
      </c>
      <c r="Q27" s="115">
        <f t="shared" si="21"/>
        <v>1240.6205360563501</v>
      </c>
      <c r="R27" s="57">
        <f t="shared" si="22"/>
        <v>1242.2333427532235</v>
      </c>
      <c r="S27" s="263">
        <f t="shared" si="23"/>
        <v>1243.5997994302522</v>
      </c>
      <c r="T27" s="57">
        <f t="shared" si="9"/>
        <v>1244.7190392497394</v>
      </c>
      <c r="U27" s="58">
        <f t="shared" si="10"/>
        <v>1245.5903425772142</v>
      </c>
      <c r="V27" s="263">
        <f t="shared" si="11"/>
        <v>1246.3376967827605</v>
      </c>
      <c r="W27" s="57">
        <f t="shared" si="12"/>
        <v>1246.9608656311518</v>
      </c>
      <c r="X27" s="263">
        <f t="shared" si="13"/>
        <v>1247.4596499774043</v>
      </c>
      <c r="Y27" s="115">
        <f t="shared" si="2"/>
        <v>1247.9586338373952</v>
      </c>
      <c r="Z27" s="57">
        <f t="shared" si="24"/>
        <v>1248.3330214275463</v>
      </c>
      <c r="AA27" s="265">
        <f t="shared" si="3"/>
        <v>1248.7075213339745</v>
      </c>
      <c r="AB27" s="57">
        <f t="shared" si="14"/>
        <v>1239.7168271803698</v>
      </c>
      <c r="AC27" s="263">
        <f t="shared" si="15"/>
        <v>1230.6668943419531</v>
      </c>
      <c r="AD27" s="57">
        <f t="shared" si="4"/>
        <v>1221.6830260132569</v>
      </c>
      <c r="AE27" s="263">
        <f t="shared" ref="AE27:AF27" si="49">AD27*0.9927</f>
        <v>1212.7647399233601</v>
      </c>
      <c r="AF27" s="57">
        <f t="shared" si="49"/>
        <v>1203.9115573219196</v>
      </c>
      <c r="AG27" s="263">
        <f t="shared" si="5"/>
        <v>1195.1230029534697</v>
      </c>
      <c r="AH27" s="57">
        <f t="shared" ref="AH27:AJ27" si="50">AG27*0.9927</f>
        <v>1186.3986050319095</v>
      </c>
      <c r="AI27" s="263">
        <f t="shared" si="50"/>
        <v>1177.7378952151766</v>
      </c>
      <c r="AJ27" s="263">
        <f t="shared" si="50"/>
        <v>1169.1404085801059</v>
      </c>
      <c r="AK27" s="278">
        <f t="shared" si="18"/>
        <v>1160.7225976383293</v>
      </c>
    </row>
    <row r="28" spans="1:37" x14ac:dyDescent="0.3">
      <c r="A28" s="10" t="s">
        <v>25</v>
      </c>
      <c r="B28" s="99">
        <v>1881</v>
      </c>
      <c r="C28" s="99">
        <v>1881</v>
      </c>
      <c r="D28" s="50">
        <v>2743.5</v>
      </c>
      <c r="E28" s="51">
        <v>2747.5</v>
      </c>
      <c r="F28" s="50">
        <v>2355</v>
      </c>
      <c r="G28" s="51">
        <v>1603</v>
      </c>
      <c r="H28" s="52">
        <v>1464</v>
      </c>
      <c r="I28" s="90">
        <v>1560</v>
      </c>
      <c r="J28" s="50">
        <v>1592</v>
      </c>
      <c r="K28" s="51">
        <f>J28*1</f>
        <v>1592</v>
      </c>
      <c r="L28" s="47">
        <f t="shared" si="19"/>
        <v>1639.76</v>
      </c>
      <c r="M28" s="47">
        <f t="shared" si="19"/>
        <v>1688.9528</v>
      </c>
      <c r="N28" s="260">
        <f t="shared" si="19"/>
        <v>1739.621384</v>
      </c>
      <c r="O28" s="267">
        <f t="shared" si="8"/>
        <v>1756.1477871480001</v>
      </c>
      <c r="P28" s="260">
        <f t="shared" si="20"/>
        <v>1772.1287320110471</v>
      </c>
      <c r="Q28" s="256">
        <f t="shared" si="21"/>
        <v>1788.0778905991463</v>
      </c>
      <c r="R28" s="267">
        <f t="shared" si="22"/>
        <v>1790.4023918569253</v>
      </c>
      <c r="S28" s="260">
        <f t="shared" si="23"/>
        <v>1792.371834487968</v>
      </c>
      <c r="T28" s="267">
        <f t="shared" si="9"/>
        <v>1793.984969139007</v>
      </c>
      <c r="U28" s="49">
        <f t="shared" si="10"/>
        <v>1795.2407586174043</v>
      </c>
      <c r="V28" s="260">
        <f t="shared" si="11"/>
        <v>1796.3179030725746</v>
      </c>
      <c r="W28" s="267">
        <f t="shared" si="12"/>
        <v>1797.2160620241109</v>
      </c>
      <c r="X28" s="260">
        <f t="shared" si="13"/>
        <v>1797.9349484489205</v>
      </c>
      <c r="Y28" s="256">
        <f t="shared" si="2"/>
        <v>1798.6541224283001</v>
      </c>
      <c r="Z28" s="256">
        <f t="shared" si="24"/>
        <v>1799.1937186650284</v>
      </c>
      <c r="AA28" s="267">
        <f t="shared" si="3"/>
        <v>1799.7334767806278</v>
      </c>
      <c r="AB28" s="49">
        <f t="shared" si="14"/>
        <v>1786.7753957478074</v>
      </c>
      <c r="AC28" s="260">
        <f t="shared" si="15"/>
        <v>1773.7319353588484</v>
      </c>
      <c r="AD28" s="267">
        <f t="shared" si="4"/>
        <v>1760.7836922307288</v>
      </c>
      <c r="AE28" s="260">
        <f t="shared" ref="AE28:AF28" si="51">AD28*0.9927</f>
        <v>1747.9299712774446</v>
      </c>
      <c r="AF28" s="267">
        <f t="shared" si="51"/>
        <v>1735.1700824871193</v>
      </c>
      <c r="AG28" s="260">
        <f t="shared" si="5"/>
        <v>1722.5033408849633</v>
      </c>
      <c r="AH28" s="267">
        <f t="shared" ref="AH28:AJ28" si="52">AG28*0.9927</f>
        <v>1709.9290664965031</v>
      </c>
      <c r="AI28" s="260">
        <f t="shared" si="52"/>
        <v>1697.4465843110786</v>
      </c>
      <c r="AJ28" s="260">
        <f t="shared" si="52"/>
        <v>1685.0552242456079</v>
      </c>
      <c r="AK28" s="256">
        <f t="shared" si="18"/>
        <v>1672.9228266310395</v>
      </c>
    </row>
    <row r="29" spans="1:37" x14ac:dyDescent="0.3">
      <c r="A29" s="11" t="s">
        <v>26</v>
      </c>
      <c r="B29" s="100">
        <v>79</v>
      </c>
      <c r="C29" s="100">
        <v>83</v>
      </c>
      <c r="D29" s="53">
        <v>379</v>
      </c>
      <c r="E29" s="54">
        <v>379</v>
      </c>
      <c r="F29" s="53">
        <v>335.5</v>
      </c>
      <c r="G29" s="54">
        <v>48</v>
      </c>
      <c r="H29" s="55">
        <v>38</v>
      </c>
      <c r="I29" s="91">
        <v>36</v>
      </c>
      <c r="J29" s="53">
        <v>39</v>
      </c>
      <c r="K29" s="54">
        <f>J29*1.2</f>
        <v>46.8</v>
      </c>
      <c r="L29" s="47">
        <v>49</v>
      </c>
      <c r="M29" s="47">
        <f t="shared" si="19"/>
        <v>50.47</v>
      </c>
      <c r="N29" s="260">
        <f t="shared" si="19"/>
        <v>51.984099999999998</v>
      </c>
      <c r="O29" s="267">
        <f t="shared" si="8"/>
        <v>52.477948949999998</v>
      </c>
      <c r="P29" s="260">
        <f t="shared" si="20"/>
        <v>52.955498285445003</v>
      </c>
      <c r="Q29" s="256">
        <f t="shared" si="21"/>
        <v>53.432097770014003</v>
      </c>
      <c r="R29" s="267">
        <f t="shared" si="22"/>
        <v>53.501559497115025</v>
      </c>
      <c r="S29" s="260">
        <f t="shared" si="23"/>
        <v>53.56041121256186</v>
      </c>
      <c r="T29" s="267">
        <f t="shared" si="9"/>
        <v>53.608615582653158</v>
      </c>
      <c r="U29" s="49">
        <f t="shared" si="10"/>
        <v>53.646141613561014</v>
      </c>
      <c r="V29" s="260">
        <f t="shared" si="11"/>
        <v>53.67832929852915</v>
      </c>
      <c r="W29" s="267">
        <f t="shared" si="12"/>
        <v>53.70516846317841</v>
      </c>
      <c r="X29" s="260">
        <f t="shared" si="13"/>
        <v>53.726650530563681</v>
      </c>
      <c r="Y29" s="256">
        <f t="shared" si="2"/>
        <v>53.748141190775904</v>
      </c>
      <c r="Z29" s="256">
        <f t="shared" si="24"/>
        <v>53.764265633133135</v>
      </c>
      <c r="AA29" s="267">
        <f t="shared" si="3"/>
        <v>53.780394912823077</v>
      </c>
      <c r="AB29" s="49">
        <f t="shared" si="14"/>
        <v>53.393176069450753</v>
      </c>
      <c r="AC29" s="260">
        <f t="shared" si="15"/>
        <v>53.003405884143767</v>
      </c>
      <c r="AD29" s="267">
        <f t="shared" si="4"/>
        <v>52.616481021189522</v>
      </c>
      <c r="AE29" s="260">
        <f t="shared" ref="AE29:AF29" si="53">AD29*0.9927</f>
        <v>52.232380709734841</v>
      </c>
      <c r="AF29" s="267">
        <f t="shared" si="53"/>
        <v>51.851084330553775</v>
      </c>
      <c r="AG29" s="260">
        <f t="shared" si="5"/>
        <v>51.472571414940731</v>
      </c>
      <c r="AH29" s="267">
        <f t="shared" ref="AH29:AJ29" si="54">AG29*0.9927</f>
        <v>51.096821643611662</v>
      </c>
      <c r="AI29" s="260">
        <f t="shared" si="54"/>
        <v>50.723814845613298</v>
      </c>
      <c r="AJ29" s="260">
        <f t="shared" si="54"/>
        <v>50.35353099724032</v>
      </c>
      <c r="AK29" s="256">
        <f t="shared" si="18"/>
        <v>49.99098557406019</v>
      </c>
    </row>
    <row r="30" spans="1:37" x14ac:dyDescent="0.3">
      <c r="A30" s="10" t="s">
        <v>27</v>
      </c>
      <c r="B30" s="99">
        <v>845</v>
      </c>
      <c r="C30" s="99">
        <v>784</v>
      </c>
      <c r="D30" s="50">
        <v>1755</v>
      </c>
      <c r="E30" s="51">
        <v>1650</v>
      </c>
      <c r="F30" s="50">
        <v>1555</v>
      </c>
      <c r="G30" s="51">
        <v>803</v>
      </c>
      <c r="H30" s="52">
        <v>711</v>
      </c>
      <c r="I30" s="92">
        <v>898.80000000000007</v>
      </c>
      <c r="J30" s="47">
        <f t="shared" si="48"/>
        <v>916.77600000000007</v>
      </c>
      <c r="K30" s="51">
        <v>902</v>
      </c>
      <c r="L30" s="56">
        <v>963</v>
      </c>
      <c r="M30" s="56">
        <v>975</v>
      </c>
      <c r="N30" s="263">
        <v>985</v>
      </c>
      <c r="O30" s="57">
        <f t="shared" si="8"/>
        <v>994.35750000000007</v>
      </c>
      <c r="P30" s="263">
        <f t="shared" si="20"/>
        <v>1003.4061532500002</v>
      </c>
      <c r="Q30" s="115">
        <f t="shared" si="21"/>
        <v>1012.4368086292501</v>
      </c>
      <c r="R30" s="57">
        <f t="shared" si="22"/>
        <v>1013.7529764804682</v>
      </c>
      <c r="S30" s="263">
        <f t="shared" si="23"/>
        <v>1014.8681047545969</v>
      </c>
      <c r="T30" s="57">
        <f t="shared" si="9"/>
        <v>1015.7814860488759</v>
      </c>
      <c r="U30" s="58">
        <f t="shared" si="10"/>
        <v>1016.49253308911</v>
      </c>
      <c r="V30" s="263">
        <f t="shared" si="11"/>
        <v>1017.1024286089634</v>
      </c>
      <c r="W30" s="57">
        <f t="shared" si="12"/>
        <v>1017.6109798232678</v>
      </c>
      <c r="X30" s="263">
        <f t="shared" si="13"/>
        <v>1018.0180242151971</v>
      </c>
      <c r="Y30" s="115">
        <f t="shared" si="2"/>
        <v>1018.4252314248831</v>
      </c>
      <c r="Z30" s="278">
        <f t="shared" si="24"/>
        <v>1018.7307589943106</v>
      </c>
      <c r="AA30" s="277">
        <f t="shared" si="3"/>
        <v>1019.0363782220088</v>
      </c>
      <c r="AB30" s="58">
        <f t="shared" si="14"/>
        <v>1011.6993162988103</v>
      </c>
      <c r="AC30" s="263">
        <f t="shared" si="15"/>
        <v>1004.3139112898291</v>
      </c>
      <c r="AD30" s="57">
        <f t="shared" si="4"/>
        <v>996.98241973741335</v>
      </c>
      <c r="AE30" s="263">
        <f t="shared" ref="AE30:AJ34" si="55">AD30*0.9927</f>
        <v>989.70444807333024</v>
      </c>
      <c r="AF30" s="57">
        <f t="shared" si="55"/>
        <v>982.47960560239494</v>
      </c>
      <c r="AG30" s="263">
        <f t="shared" si="55"/>
        <v>975.30750448149752</v>
      </c>
      <c r="AH30" s="57">
        <f t="shared" si="55"/>
        <v>968.18775969878266</v>
      </c>
      <c r="AI30" s="263">
        <f t="shared" si="55"/>
        <v>961.11998905298162</v>
      </c>
      <c r="AJ30" s="263">
        <f t="shared" si="55"/>
        <v>954.10381313289486</v>
      </c>
      <c r="AK30" s="278">
        <f t="shared" si="18"/>
        <v>947.23426567833803</v>
      </c>
    </row>
    <row r="31" spans="1:37" x14ac:dyDescent="0.3">
      <c r="A31" s="14" t="s">
        <v>28</v>
      </c>
      <c r="B31" s="102">
        <v>1721</v>
      </c>
      <c r="C31" s="102">
        <v>1795</v>
      </c>
      <c r="D31" s="56">
        <v>1857</v>
      </c>
      <c r="E31" s="57">
        <v>1856.5</v>
      </c>
      <c r="F31" s="56">
        <v>1765</v>
      </c>
      <c r="G31" s="57">
        <v>757</v>
      </c>
      <c r="H31" s="58">
        <v>159</v>
      </c>
      <c r="I31" s="89">
        <v>254.39999999999998</v>
      </c>
      <c r="J31" s="56">
        <f>I31+(I31*2)</f>
        <v>763.19999999999993</v>
      </c>
      <c r="K31" s="57">
        <f>J31*1.05</f>
        <v>801.36</v>
      </c>
      <c r="L31" s="56">
        <f t="shared" si="19"/>
        <v>825.4008</v>
      </c>
      <c r="M31" s="56">
        <v>845</v>
      </c>
      <c r="N31" s="263">
        <f t="shared" si="19"/>
        <v>870.35</v>
      </c>
      <c r="O31" s="267">
        <f t="shared" si="8"/>
        <v>878.61832500000003</v>
      </c>
      <c r="P31" s="260">
        <f t="shared" si="20"/>
        <v>886.61375175750015</v>
      </c>
      <c r="Q31" s="256">
        <f t="shared" si="21"/>
        <v>894.59327552331752</v>
      </c>
      <c r="R31" s="267">
        <f t="shared" si="22"/>
        <v>895.75624678149791</v>
      </c>
      <c r="S31" s="260">
        <f t="shared" si="23"/>
        <v>896.74157865295763</v>
      </c>
      <c r="T31" s="267">
        <f t="shared" si="9"/>
        <v>897.5486460737452</v>
      </c>
      <c r="U31" s="49">
        <f t="shared" si="10"/>
        <v>898.17693012599671</v>
      </c>
      <c r="V31" s="260">
        <f t="shared" si="11"/>
        <v>898.71583628407222</v>
      </c>
      <c r="W31" s="267">
        <f t="shared" si="12"/>
        <v>899.16519420221425</v>
      </c>
      <c r="X31" s="260">
        <f t="shared" si="13"/>
        <v>899.52486027989505</v>
      </c>
      <c r="Y31" s="256">
        <f t="shared" si="2"/>
        <v>899.88467022400698</v>
      </c>
      <c r="Z31" s="256">
        <f t="shared" si="24"/>
        <v>900.15463562507421</v>
      </c>
      <c r="AA31" s="267">
        <f t="shared" si="3"/>
        <v>900.42468201576173</v>
      </c>
      <c r="AB31" s="49">
        <f t="shared" si="14"/>
        <v>893.9416243052483</v>
      </c>
      <c r="AC31" s="260">
        <f t="shared" si="15"/>
        <v>887.41585044782005</v>
      </c>
      <c r="AD31" s="267">
        <f t="shared" si="4"/>
        <v>880.93771473955098</v>
      </c>
      <c r="AE31" s="260">
        <f t="shared" ref="AE31:AF31" si="56">AD31*0.9927</f>
        <v>874.50686942195227</v>
      </c>
      <c r="AF31" s="267">
        <f t="shared" si="56"/>
        <v>868.12296927517207</v>
      </c>
      <c r="AG31" s="260">
        <f t="shared" si="55"/>
        <v>861.78567159946329</v>
      </c>
      <c r="AH31" s="267">
        <f t="shared" si="55"/>
        <v>855.49463619678727</v>
      </c>
      <c r="AI31" s="260">
        <f t="shared" si="55"/>
        <v>849.24952535255079</v>
      </c>
      <c r="AJ31" s="260">
        <f t="shared" si="55"/>
        <v>843.0500038174772</v>
      </c>
      <c r="AK31" s="256">
        <f t="shared" si="18"/>
        <v>836.98004378999133</v>
      </c>
    </row>
    <row r="32" spans="1:37" x14ac:dyDescent="0.3">
      <c r="A32" s="10" t="s">
        <v>29</v>
      </c>
      <c r="B32" s="103" t="s">
        <v>60</v>
      </c>
      <c r="C32" s="103" t="s">
        <v>60</v>
      </c>
      <c r="D32" s="50">
        <v>0</v>
      </c>
      <c r="E32" s="51">
        <v>0</v>
      </c>
      <c r="F32" s="50">
        <v>20</v>
      </c>
      <c r="G32" s="51">
        <v>95</v>
      </c>
      <c r="H32" s="52">
        <v>0</v>
      </c>
      <c r="I32" s="92">
        <v>0</v>
      </c>
      <c r="J32" s="47">
        <v>110</v>
      </c>
      <c r="K32" s="51">
        <v>119</v>
      </c>
      <c r="L32" s="56">
        <v>165</v>
      </c>
      <c r="M32" s="56">
        <f t="shared" ref="L32:N34" si="57">L32*1.03</f>
        <v>169.95000000000002</v>
      </c>
      <c r="N32" s="263">
        <f t="shared" si="57"/>
        <v>175.04850000000002</v>
      </c>
      <c r="O32" s="57">
        <f t="shared" si="8"/>
        <v>176.71146075000004</v>
      </c>
      <c r="P32" s="263">
        <f t="shared" si="20"/>
        <v>178.31953504282507</v>
      </c>
      <c r="Q32" s="115">
        <f t="shared" si="21"/>
        <v>179.92441085821048</v>
      </c>
      <c r="R32" s="57">
        <f t="shared" si="22"/>
        <v>180.15831259232615</v>
      </c>
      <c r="S32" s="263">
        <f t="shared" si="23"/>
        <v>180.35648673617774</v>
      </c>
      <c r="T32" s="57">
        <f t="shared" si="9"/>
        <v>180.5188075742403</v>
      </c>
      <c r="U32" s="58">
        <f t="shared" si="10"/>
        <v>180.64517073954227</v>
      </c>
      <c r="V32" s="263">
        <f t="shared" si="11"/>
        <v>180.75355784198598</v>
      </c>
      <c r="W32" s="57">
        <f t="shared" si="12"/>
        <v>180.84393462090696</v>
      </c>
      <c r="X32" s="263">
        <f t="shared" si="13"/>
        <v>180.91627219475532</v>
      </c>
      <c r="Y32" s="115">
        <f t="shared" si="2"/>
        <v>180.98863870363323</v>
      </c>
      <c r="Z32" s="278">
        <f t="shared" si="24"/>
        <v>181.04293529524432</v>
      </c>
      <c r="AA32" s="277">
        <f t="shared" si="3"/>
        <v>181.09724817583287</v>
      </c>
      <c r="AB32" s="58">
        <f t="shared" si="14"/>
        <v>179.79334798896687</v>
      </c>
      <c r="AC32" s="263">
        <f t="shared" si="15"/>
        <v>178.48085654864741</v>
      </c>
      <c r="AD32" s="57">
        <f t="shared" si="4"/>
        <v>177.17794629584228</v>
      </c>
      <c r="AE32" s="263">
        <f t="shared" ref="AE32:AF32" si="58">AD32*0.9927</f>
        <v>175.88454728788264</v>
      </c>
      <c r="AF32" s="57">
        <f t="shared" si="58"/>
        <v>174.6005900926811</v>
      </c>
      <c r="AG32" s="263">
        <f t="shared" si="55"/>
        <v>173.32600578500453</v>
      </c>
      <c r="AH32" s="57">
        <f t="shared" si="55"/>
        <v>172.06072594277398</v>
      </c>
      <c r="AI32" s="263">
        <f t="shared" si="55"/>
        <v>170.80468264339174</v>
      </c>
      <c r="AJ32" s="263">
        <f t="shared" si="55"/>
        <v>169.55780846009498</v>
      </c>
      <c r="AK32" s="278">
        <f t="shared" si="18"/>
        <v>168.33699223918231</v>
      </c>
    </row>
    <row r="33" spans="1:37" x14ac:dyDescent="0.3">
      <c r="A33" s="14" t="s">
        <v>30</v>
      </c>
      <c r="B33" s="102">
        <v>1113</v>
      </c>
      <c r="C33" s="102">
        <v>1128</v>
      </c>
      <c r="D33" s="56">
        <v>1124</v>
      </c>
      <c r="E33" s="57">
        <v>1144</v>
      </c>
      <c r="F33" s="56">
        <v>1139</v>
      </c>
      <c r="G33" s="57">
        <v>461</v>
      </c>
      <c r="H33" s="58">
        <v>0</v>
      </c>
      <c r="I33" s="92">
        <v>0</v>
      </c>
      <c r="J33" s="56">
        <v>170</v>
      </c>
      <c r="K33" s="57">
        <f>J33*2.2</f>
        <v>374.00000000000006</v>
      </c>
      <c r="L33" s="56">
        <f>K33*1.3</f>
        <v>486.2000000000001</v>
      </c>
      <c r="M33" s="56">
        <f t="shared" si="57"/>
        <v>500.78600000000012</v>
      </c>
      <c r="N33" s="263">
        <v>501</v>
      </c>
      <c r="O33" s="57">
        <f t="shared" si="8"/>
        <v>505.75950000000006</v>
      </c>
      <c r="P33" s="263">
        <f t="shared" si="20"/>
        <v>510.36191145000009</v>
      </c>
      <c r="Q33" s="115">
        <f t="shared" si="21"/>
        <v>514.95516865305001</v>
      </c>
      <c r="R33" s="57">
        <f t="shared" si="22"/>
        <v>515.624610372299</v>
      </c>
      <c r="S33" s="263">
        <f t="shared" si="23"/>
        <v>516.19179744370854</v>
      </c>
      <c r="T33" s="57">
        <f t="shared" si="9"/>
        <v>516.65637006140787</v>
      </c>
      <c r="U33" s="58">
        <f t="shared" si="10"/>
        <v>517.0180295204508</v>
      </c>
      <c r="V33" s="263">
        <f t="shared" si="11"/>
        <v>517.32824033816303</v>
      </c>
      <c r="W33" s="57">
        <f t="shared" si="12"/>
        <v>517.58690445833213</v>
      </c>
      <c r="X33" s="263">
        <f t="shared" si="13"/>
        <v>517.79393922011548</v>
      </c>
      <c r="Y33" s="115">
        <f t="shared" si="2"/>
        <v>518.00105679580349</v>
      </c>
      <c r="Z33" s="278">
        <f t="shared" si="24"/>
        <v>518.15645711284219</v>
      </c>
      <c r="AA33" s="267">
        <f t="shared" si="3"/>
        <v>518.31190404997608</v>
      </c>
      <c r="AB33" s="49">
        <f t="shared" si="14"/>
        <v>514.58005834081621</v>
      </c>
      <c r="AC33" s="260">
        <f t="shared" si="15"/>
        <v>510.82362391492825</v>
      </c>
      <c r="AD33" s="267">
        <f t="shared" si="4"/>
        <v>507.09461146034931</v>
      </c>
      <c r="AE33" s="260">
        <f t="shared" ref="AE33:AF33" si="59">AD33*0.9927</f>
        <v>503.3928207966888</v>
      </c>
      <c r="AF33" s="267">
        <f t="shared" si="59"/>
        <v>499.718053204873</v>
      </c>
      <c r="AG33" s="260">
        <f t="shared" si="55"/>
        <v>496.07011141647746</v>
      </c>
      <c r="AH33" s="267">
        <f t="shared" si="55"/>
        <v>492.44879960313716</v>
      </c>
      <c r="AI33" s="260">
        <f t="shared" si="55"/>
        <v>488.85392336603428</v>
      </c>
      <c r="AJ33" s="260">
        <f t="shared" si="55"/>
        <v>485.28528972546223</v>
      </c>
      <c r="AK33" s="256">
        <f t="shared" si="18"/>
        <v>481.79123563943892</v>
      </c>
    </row>
    <row r="34" spans="1:37" ht="14.5" thickBot="1" x14ac:dyDescent="0.35">
      <c r="A34" s="10" t="s">
        <v>31</v>
      </c>
      <c r="B34" s="99">
        <v>835</v>
      </c>
      <c r="C34" s="99">
        <v>832</v>
      </c>
      <c r="D34" s="50">
        <v>1458</v>
      </c>
      <c r="E34" s="51">
        <v>1330.5</v>
      </c>
      <c r="F34" s="50">
        <v>1337.5</v>
      </c>
      <c r="G34" s="51">
        <v>1147</v>
      </c>
      <c r="H34" s="52">
        <v>1109</v>
      </c>
      <c r="I34" s="93">
        <v>1386</v>
      </c>
      <c r="J34" s="106">
        <f>I34*1.02</f>
        <v>1413.72</v>
      </c>
      <c r="K34" s="57">
        <v>1002</v>
      </c>
      <c r="L34" s="56">
        <f t="shared" si="57"/>
        <v>1032.06</v>
      </c>
      <c r="M34" s="56">
        <f t="shared" si="57"/>
        <v>1063.0218</v>
      </c>
      <c r="N34" s="280">
        <f t="shared" si="57"/>
        <v>1094.912454</v>
      </c>
      <c r="O34" s="107">
        <f t="shared" si="8"/>
        <v>1105.3141223130001</v>
      </c>
      <c r="P34" s="264">
        <v>1117</v>
      </c>
      <c r="Q34" s="256">
        <f t="shared" si="21"/>
        <v>1127.0529999999999</v>
      </c>
      <c r="R34" s="267">
        <f t="shared" si="22"/>
        <v>1128.5181688999999</v>
      </c>
      <c r="S34" s="260">
        <f t="shared" si="23"/>
        <v>1129.7595388857899</v>
      </c>
      <c r="T34" s="267">
        <f t="shared" si="9"/>
        <v>1130.7763224707869</v>
      </c>
      <c r="U34" s="269">
        <f t="shared" si="10"/>
        <v>1131.5678658965164</v>
      </c>
      <c r="V34" s="264">
        <f t="shared" si="11"/>
        <v>1132.2468066160543</v>
      </c>
      <c r="W34" s="107">
        <f t="shared" si="12"/>
        <v>1132.8129300193623</v>
      </c>
      <c r="X34" s="264">
        <f t="shared" si="13"/>
        <v>1133.26605519137</v>
      </c>
      <c r="Y34" s="270">
        <f t="shared" si="2"/>
        <v>1133.7193616134466</v>
      </c>
      <c r="Z34" s="256">
        <f t="shared" si="24"/>
        <v>1134.0594774219305</v>
      </c>
      <c r="AA34" s="267">
        <f t="shared" si="3"/>
        <v>1134.3996952651571</v>
      </c>
      <c r="AB34" s="269">
        <f t="shared" si="14"/>
        <v>1126.232017459248</v>
      </c>
      <c r="AC34" s="264">
        <f t="shared" si="15"/>
        <v>1118.0105237317955</v>
      </c>
      <c r="AD34" s="107">
        <f t="shared" si="4"/>
        <v>1109.8490469085534</v>
      </c>
      <c r="AE34" s="264">
        <f t="shared" ref="AE34:AF34" si="60">AD34*0.9927</f>
        <v>1101.7471488661211</v>
      </c>
      <c r="AF34" s="107">
        <f t="shared" si="60"/>
        <v>1093.7043946793983</v>
      </c>
      <c r="AG34" s="264">
        <f t="shared" si="55"/>
        <v>1085.7203525982388</v>
      </c>
      <c r="AH34" s="107">
        <f t="shared" si="55"/>
        <v>1077.7945940242716</v>
      </c>
      <c r="AI34" s="264">
        <f t="shared" si="55"/>
        <v>1069.9266934878945</v>
      </c>
      <c r="AJ34" s="264">
        <f t="shared" si="55"/>
        <v>1062.1162286254328</v>
      </c>
      <c r="AK34" s="270">
        <f t="shared" si="18"/>
        <v>1054.4689917793296</v>
      </c>
    </row>
    <row r="35" spans="1:37" ht="14.5" thickBot="1" x14ac:dyDescent="0.35">
      <c r="A35" s="17" t="s">
        <v>32</v>
      </c>
      <c r="B35" s="104">
        <f>SUM(B14:B34)</f>
        <v>21627</v>
      </c>
      <c r="C35" s="104">
        <f>SUM(C14:C34)</f>
        <v>21951</v>
      </c>
      <c r="D35" s="59">
        <f t="shared" ref="D35:AK35" si="61">SUM(D14:D34)</f>
        <v>29061</v>
      </c>
      <c r="E35" s="60">
        <f t="shared" si="61"/>
        <v>27572</v>
      </c>
      <c r="F35" s="59">
        <f t="shared" si="61"/>
        <v>26772.5</v>
      </c>
      <c r="G35" s="60">
        <f t="shared" si="61"/>
        <v>16175</v>
      </c>
      <c r="H35" s="59">
        <f t="shared" si="61"/>
        <v>14456</v>
      </c>
      <c r="I35" s="61">
        <f t="shared" si="61"/>
        <v>15880.8</v>
      </c>
      <c r="J35" s="62">
        <f t="shared" si="61"/>
        <v>18038.448000000004</v>
      </c>
      <c r="K35" s="61">
        <f t="shared" si="61"/>
        <v>19040.879280000001</v>
      </c>
      <c r="L35" s="61">
        <f t="shared" si="61"/>
        <v>19715.816718400001</v>
      </c>
      <c r="M35" s="61">
        <f t="shared" si="61"/>
        <v>20209.925395952003</v>
      </c>
      <c r="N35" s="61">
        <f t="shared" si="61"/>
        <v>20712.269964830564</v>
      </c>
      <c r="O35" s="259">
        <f t="shared" si="61"/>
        <v>20909.03652949645</v>
      </c>
      <c r="P35" s="61">
        <f t="shared" si="61"/>
        <v>21100.936281088823</v>
      </c>
      <c r="Q35" s="61">
        <f t="shared" si="61"/>
        <v>21290.84470761862</v>
      </c>
      <c r="R35" s="61">
        <f t="shared" si="61"/>
        <v>21318.522805738521</v>
      </c>
      <c r="S35" s="61">
        <f t="shared" si="61"/>
        <v>21341.97318082484</v>
      </c>
      <c r="T35" s="61">
        <f t="shared" si="61"/>
        <v>21361.180956687582</v>
      </c>
      <c r="U35" s="259">
        <f t="shared" si="61"/>
        <v>21376.133783357258</v>
      </c>
      <c r="V35" s="259">
        <f t="shared" si="61"/>
        <v>21388.95946362727</v>
      </c>
      <c r="W35" s="259">
        <f t="shared" si="61"/>
        <v>21399.653943359081</v>
      </c>
      <c r="X35" s="259">
        <f t="shared" si="61"/>
        <v>21408.213804936429</v>
      </c>
      <c r="Y35" s="259">
        <f t="shared" si="61"/>
        <v>21416.777090458407</v>
      </c>
      <c r="Z35" s="61">
        <f t="shared" si="61"/>
        <v>21423.202123585546</v>
      </c>
      <c r="AA35" s="61">
        <f t="shared" si="61"/>
        <v>21429.629084222615</v>
      </c>
      <c r="AB35" s="259">
        <f t="shared" si="61"/>
        <v>21275.335754816213</v>
      </c>
      <c r="AC35" s="259">
        <f t="shared" si="61"/>
        <v>21120.02580380606</v>
      </c>
      <c r="AD35" s="259">
        <f t="shared" si="61"/>
        <v>20965.84961543827</v>
      </c>
      <c r="AE35" s="259">
        <f t="shared" si="61"/>
        <v>20812.79891324557</v>
      </c>
      <c r="AF35" s="259">
        <f t="shared" si="61"/>
        <v>20660.86548117888</v>
      </c>
      <c r="AG35" s="259">
        <f t="shared" si="61"/>
        <v>20510.041163166276</v>
      </c>
      <c r="AH35" s="259">
        <f t="shared" si="61"/>
        <v>20360.317862675165</v>
      </c>
      <c r="AI35" s="259">
        <f t="shared" si="61"/>
        <v>20211.687542277636</v>
      </c>
      <c r="AJ35" s="259">
        <f t="shared" si="61"/>
        <v>20064.142223219005</v>
      </c>
      <c r="AK35" s="259">
        <f t="shared" si="61"/>
        <v>19919.680399211826</v>
      </c>
    </row>
    <row r="36" spans="1:37" ht="14.5" thickBot="1" x14ac:dyDescent="0.35">
      <c r="A36" s="37" t="s">
        <v>39</v>
      </c>
      <c r="B36" s="38"/>
      <c r="C36" s="37"/>
      <c r="D36" s="81">
        <v>25289</v>
      </c>
      <c r="E36" s="82">
        <v>24582</v>
      </c>
      <c r="F36" s="83">
        <v>23266.5</v>
      </c>
      <c r="G36" s="39"/>
      <c r="H36" s="94">
        <f>(H35-G35)/G35</f>
        <v>-0.10627511591962906</v>
      </c>
      <c r="I36" s="94">
        <f t="shared" ref="I36:AK36" si="62">(I35-H35)/H35</f>
        <v>9.8561151079136641E-2</v>
      </c>
      <c r="J36" s="94">
        <f t="shared" si="62"/>
        <v>0.13586519570802508</v>
      </c>
      <c r="K36" s="94">
        <f t="shared" si="62"/>
        <v>5.5571925034792177E-2</v>
      </c>
      <c r="L36" s="94">
        <f t="shared" si="62"/>
        <v>3.5446757918839146E-2</v>
      </c>
      <c r="M36" s="94">
        <f t="shared" si="62"/>
        <v>2.5061537374247819E-2</v>
      </c>
      <c r="N36" s="94">
        <f t="shared" si="62"/>
        <v>2.485632970120611E-2</v>
      </c>
      <c r="O36" s="94">
        <f t="shared" si="62"/>
        <v>9.4999999999997951E-3</v>
      </c>
      <c r="P36" s="94">
        <f t="shared" si="62"/>
        <v>9.1778380759753933E-3</v>
      </c>
      <c r="Q36" s="94">
        <f t="shared" si="62"/>
        <v>8.9999999999998848E-3</v>
      </c>
      <c r="R36" s="94">
        <f t="shared" si="62"/>
        <v>1.2999999999998412E-3</v>
      </c>
      <c r="S36" s="94">
        <f t="shared" si="62"/>
        <v>1.1000000000002954E-3</v>
      </c>
      <c r="T36" s="94">
        <f t="shared" si="62"/>
        <v>8.9999999999998252E-4</v>
      </c>
      <c r="U36" s="94">
        <f t="shared" si="62"/>
        <v>6.9999999999975822E-4</v>
      </c>
      <c r="V36" s="94">
        <f t="shared" si="62"/>
        <v>5.9999999999991451E-4</v>
      </c>
      <c r="W36" s="94">
        <f t="shared" si="62"/>
        <v>4.999999999998363E-4</v>
      </c>
      <c r="X36" s="94">
        <f t="shared" si="62"/>
        <v>4.0000000000024071E-4</v>
      </c>
      <c r="Y36" s="94">
        <f t="shared" si="62"/>
        <v>4.0000000000013105E-4</v>
      </c>
      <c r="Z36" s="94">
        <f t="shared" si="62"/>
        <v>3.0000000000009766E-4</v>
      </c>
      <c r="AA36" s="94">
        <f t="shared" si="62"/>
        <v>2.9999999999968832E-4</v>
      </c>
      <c r="AB36" s="94">
        <f t="shared" si="62"/>
        <v>-7.1999999999999773E-3</v>
      </c>
      <c r="AC36" s="94">
        <f t="shared" si="62"/>
        <v>-7.2999999999997425E-3</v>
      </c>
      <c r="AD36" s="94">
        <f t="shared" si="62"/>
        <v>-7.3000000000002733E-3</v>
      </c>
      <c r="AE36" s="94">
        <f t="shared" si="62"/>
        <v>-7.3000000000000564E-3</v>
      </c>
      <c r="AF36" s="94">
        <f t="shared" si="62"/>
        <v>-7.2999999999998448E-3</v>
      </c>
      <c r="AG36" s="94">
        <f t="shared" si="62"/>
        <v>-7.2999999999999428E-3</v>
      </c>
      <c r="AH36" s="94">
        <f t="shared" si="62"/>
        <v>-7.2999999999998344E-3</v>
      </c>
      <c r="AI36" s="94">
        <f t="shared" si="62"/>
        <v>-7.3000000000000356E-3</v>
      </c>
      <c r="AJ36" s="94">
        <f t="shared" si="62"/>
        <v>-7.3000000000001813E-3</v>
      </c>
      <c r="AK36" s="94">
        <f t="shared" si="62"/>
        <v>-7.2000000000001342E-3</v>
      </c>
    </row>
    <row r="38" spans="1:37" x14ac:dyDescent="0.3">
      <c r="A38" s="105" t="s">
        <v>40</v>
      </c>
      <c r="B38" s="63"/>
      <c r="C38" s="63"/>
      <c r="D38" s="63"/>
      <c r="E38" s="63"/>
      <c r="F38" s="63"/>
      <c r="G38" s="63"/>
    </row>
    <row r="39" spans="1:37" x14ac:dyDescent="0.3">
      <c r="A39" s="105" t="s">
        <v>41</v>
      </c>
      <c r="B39" s="63"/>
      <c r="C39" s="63"/>
      <c r="D39" s="63"/>
      <c r="E39" s="63"/>
      <c r="F39" s="63"/>
      <c r="G39" s="63"/>
    </row>
    <row r="41" spans="1:37" ht="29" customHeight="1" x14ac:dyDescent="0.3">
      <c r="A41" s="41" t="s">
        <v>61</v>
      </c>
      <c r="B41" s="41"/>
      <c r="C41" s="41"/>
      <c r="D41" s="41"/>
      <c r="E41" s="41"/>
      <c r="F41" s="41"/>
      <c r="G41" s="41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</row>
    <row r="42" spans="1:37" ht="16" thickBot="1" x14ac:dyDescent="0.4">
      <c r="A42" s="4"/>
      <c r="B42" s="5"/>
      <c r="C42" s="5"/>
      <c r="D42" s="5"/>
      <c r="E42" s="5"/>
      <c r="F42" s="5"/>
      <c r="G42" s="5"/>
      <c r="K42" s="43"/>
    </row>
    <row r="43" spans="1:37" ht="16" thickBot="1" x14ac:dyDescent="0.4">
      <c r="A43" s="64" t="s">
        <v>42</v>
      </c>
      <c r="B43" s="316" t="s">
        <v>43</v>
      </c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8"/>
    </row>
    <row r="44" spans="1:37" ht="14.5" thickBot="1" x14ac:dyDescent="0.35">
      <c r="A44" s="65"/>
      <c r="B44" s="78" t="s">
        <v>62</v>
      </c>
      <c r="C44" s="108" t="s">
        <v>63</v>
      </c>
      <c r="D44" s="78" t="s">
        <v>44</v>
      </c>
      <c r="E44" s="108" t="s">
        <v>45</v>
      </c>
      <c r="F44" s="77" t="s">
        <v>46</v>
      </c>
      <c r="G44" s="77" t="s">
        <v>9</v>
      </c>
      <c r="H44" s="78" t="s">
        <v>10</v>
      </c>
      <c r="I44" s="108" t="s">
        <v>64</v>
      </c>
      <c r="J44" s="78">
        <v>2023</v>
      </c>
      <c r="K44" s="77">
        <v>2024</v>
      </c>
      <c r="L44" s="77">
        <v>2025</v>
      </c>
      <c r="M44" s="77">
        <v>2026</v>
      </c>
      <c r="N44" s="77">
        <v>2027</v>
      </c>
      <c r="O44" s="78">
        <v>2028</v>
      </c>
      <c r="P44" s="80">
        <v>2029</v>
      </c>
      <c r="Q44" s="77">
        <v>2030</v>
      </c>
      <c r="R44" s="77">
        <v>2031</v>
      </c>
      <c r="S44" s="77">
        <v>2032</v>
      </c>
      <c r="T44" s="77">
        <v>2033</v>
      </c>
      <c r="U44" s="78">
        <v>2034</v>
      </c>
      <c r="V44" s="77">
        <v>2035</v>
      </c>
      <c r="W44" s="77">
        <v>2036</v>
      </c>
      <c r="X44" s="77">
        <v>2037</v>
      </c>
      <c r="Y44" s="77">
        <v>2038</v>
      </c>
      <c r="Z44" s="77">
        <v>2039</v>
      </c>
      <c r="AA44" s="77">
        <v>2040</v>
      </c>
      <c r="AB44" s="77">
        <v>2041</v>
      </c>
      <c r="AC44" s="77">
        <v>2042</v>
      </c>
      <c r="AD44" s="77">
        <v>2043</v>
      </c>
      <c r="AE44" s="77">
        <v>2044</v>
      </c>
      <c r="AF44" s="77">
        <v>2045</v>
      </c>
      <c r="AG44" s="77">
        <v>2046</v>
      </c>
      <c r="AH44" s="77">
        <v>2047</v>
      </c>
      <c r="AI44" s="77">
        <v>2048</v>
      </c>
      <c r="AJ44" s="77">
        <v>2049</v>
      </c>
      <c r="AK44" s="77">
        <v>2050</v>
      </c>
    </row>
    <row r="45" spans="1:37" x14ac:dyDescent="0.3">
      <c r="A45" s="66" t="s">
        <v>47</v>
      </c>
      <c r="B45" s="67">
        <v>896</v>
      </c>
      <c r="C45" s="68">
        <v>1044</v>
      </c>
      <c r="D45" s="109">
        <v>727</v>
      </c>
      <c r="E45" s="110">
        <v>661</v>
      </c>
      <c r="F45" s="111">
        <v>720</v>
      </c>
      <c r="G45" s="110">
        <v>523</v>
      </c>
      <c r="H45" s="111">
        <v>518</v>
      </c>
      <c r="I45" s="112">
        <v>664.8</v>
      </c>
      <c r="J45" s="112">
        <f>I45*1.02</f>
        <v>678.096</v>
      </c>
      <c r="K45" s="112">
        <f t="shared" ref="K45:M53" si="63">J45*1.02</f>
        <v>691.65791999999999</v>
      </c>
      <c r="L45" s="112">
        <f t="shared" si="63"/>
        <v>705.49107839999999</v>
      </c>
      <c r="M45" s="112">
        <f>L45*1.02</f>
        <v>719.60089996800002</v>
      </c>
      <c r="N45" s="112">
        <f t="shared" ref="N45:O53" si="64">M45*1.02</f>
        <v>733.99291796736009</v>
      </c>
      <c r="O45" s="112">
        <f t="shared" si="64"/>
        <v>748.67277632670732</v>
      </c>
      <c r="P45" s="112">
        <f t="shared" ref="P45:S53" si="65">O45*1.015</f>
        <v>759.90286797160786</v>
      </c>
      <c r="Q45" s="112">
        <f t="shared" si="65"/>
        <v>771.30141099118191</v>
      </c>
      <c r="R45" s="112">
        <f>Q45*1.015</f>
        <v>782.87093215604955</v>
      </c>
      <c r="S45" s="112">
        <f>R45*1.015</f>
        <v>794.61399613839023</v>
      </c>
      <c r="T45" s="112">
        <f t="shared" ref="T45:V53" si="66">S45*1.015</f>
        <v>806.53320608046602</v>
      </c>
      <c r="U45" s="112">
        <f t="shared" si="66"/>
        <v>818.63120417167295</v>
      </c>
      <c r="V45" s="112">
        <f t="shared" si="66"/>
        <v>830.91067223424795</v>
      </c>
      <c r="W45" s="12">
        <f t="shared" ref="W45" si="67">V45*1.01</f>
        <v>839.2197789565904</v>
      </c>
      <c r="X45" s="12">
        <f t="shared" ref="X45" si="68">W45*1.01</f>
        <v>847.6119767461563</v>
      </c>
      <c r="Y45" s="12">
        <f t="shared" ref="Y45:AE53" si="69">X45*1.01</f>
        <v>856.08809651361787</v>
      </c>
      <c r="Z45" s="12">
        <f t="shared" si="69"/>
        <v>864.64897747875409</v>
      </c>
      <c r="AA45" s="12">
        <f t="shared" si="69"/>
        <v>873.29546725354169</v>
      </c>
      <c r="AB45" s="12">
        <f t="shared" si="69"/>
        <v>882.02842192607716</v>
      </c>
      <c r="AC45" s="12">
        <f t="shared" si="69"/>
        <v>890.84870614533793</v>
      </c>
      <c r="AD45" s="12">
        <f t="shared" si="69"/>
        <v>899.75719320679127</v>
      </c>
      <c r="AE45" s="12">
        <f t="shared" si="69"/>
        <v>908.75476513885917</v>
      </c>
      <c r="AF45" s="12">
        <f>AE45*1</f>
        <v>908.75476513885917</v>
      </c>
      <c r="AG45" s="12">
        <f t="shared" ref="AG45:AK45" si="70">AF45*1</f>
        <v>908.75476513885917</v>
      </c>
      <c r="AH45" s="12">
        <f t="shared" si="70"/>
        <v>908.75476513885917</v>
      </c>
      <c r="AI45" s="12">
        <f t="shared" si="70"/>
        <v>908.75476513885917</v>
      </c>
      <c r="AJ45" s="12">
        <f t="shared" si="70"/>
        <v>908.75476513885917</v>
      </c>
      <c r="AK45" s="12">
        <f t="shared" si="70"/>
        <v>908.75476513885917</v>
      </c>
    </row>
    <row r="46" spans="1:37" x14ac:dyDescent="0.3">
      <c r="A46" s="69" t="s">
        <v>48</v>
      </c>
      <c r="B46" s="70">
        <v>1193</v>
      </c>
      <c r="C46" s="71">
        <v>1152</v>
      </c>
      <c r="D46" s="113">
        <v>57</v>
      </c>
      <c r="E46" s="114">
        <v>167</v>
      </c>
      <c r="F46" s="113">
        <v>306</v>
      </c>
      <c r="G46" s="114">
        <v>633</v>
      </c>
      <c r="H46" s="113">
        <v>535</v>
      </c>
      <c r="I46" s="115">
        <v>872.40000000000009</v>
      </c>
      <c r="J46" s="112">
        <f t="shared" ref="J46:J53" si="71">I46*1.02</f>
        <v>889.84800000000007</v>
      </c>
      <c r="K46" s="112">
        <f t="shared" si="63"/>
        <v>907.64496000000008</v>
      </c>
      <c r="L46" s="112">
        <f t="shared" si="63"/>
        <v>925.79785920000006</v>
      </c>
      <c r="M46" s="112">
        <f t="shared" si="63"/>
        <v>944.31381638400012</v>
      </c>
      <c r="N46" s="112">
        <f t="shared" si="64"/>
        <v>963.2000927116801</v>
      </c>
      <c r="O46" s="112">
        <f t="shared" si="64"/>
        <v>982.46409456591368</v>
      </c>
      <c r="P46" s="112">
        <f t="shared" si="65"/>
        <v>997.20105598440227</v>
      </c>
      <c r="Q46" s="112">
        <f t="shared" si="65"/>
        <v>1012.1590718241682</v>
      </c>
      <c r="R46" s="112">
        <f t="shared" si="65"/>
        <v>1027.3414579015307</v>
      </c>
      <c r="S46" s="112">
        <f t="shared" si="65"/>
        <v>1042.7515797700535</v>
      </c>
      <c r="T46" s="112">
        <f t="shared" si="66"/>
        <v>1058.3928534666043</v>
      </c>
      <c r="U46" s="112">
        <f t="shared" si="66"/>
        <v>1074.2687462686033</v>
      </c>
      <c r="V46" s="112">
        <f t="shared" si="66"/>
        <v>1090.3827774626322</v>
      </c>
      <c r="W46" s="12">
        <f t="shared" ref="W46" si="72">V46*1.01</f>
        <v>1101.2866052372585</v>
      </c>
      <c r="X46" s="12">
        <f t="shared" ref="X46" si="73">W46*1.01</f>
        <v>1112.2994712896311</v>
      </c>
      <c r="Y46" s="12">
        <f t="shared" si="69"/>
        <v>1123.4224660025275</v>
      </c>
      <c r="Z46" s="12">
        <f t="shared" si="69"/>
        <v>1134.6566906625528</v>
      </c>
      <c r="AA46" s="12">
        <f t="shared" si="69"/>
        <v>1146.0032575691785</v>
      </c>
      <c r="AB46" s="12">
        <f t="shared" si="69"/>
        <v>1157.4632901448701</v>
      </c>
      <c r="AC46" s="12">
        <f t="shared" si="69"/>
        <v>1169.0379230463188</v>
      </c>
      <c r="AD46" s="12">
        <f t="shared" si="69"/>
        <v>1180.728302276782</v>
      </c>
      <c r="AE46" s="12">
        <f t="shared" ref="AE46" si="74">AD46*1.01</f>
        <v>1192.5355852995499</v>
      </c>
      <c r="AF46" s="12">
        <f t="shared" ref="AF46:AK53" si="75">AE46*1</f>
        <v>1192.5355852995499</v>
      </c>
      <c r="AG46" s="12">
        <f t="shared" si="75"/>
        <v>1192.5355852995499</v>
      </c>
      <c r="AH46" s="12">
        <f t="shared" si="75"/>
        <v>1192.5355852995499</v>
      </c>
      <c r="AI46" s="12">
        <f t="shared" si="75"/>
        <v>1192.5355852995499</v>
      </c>
      <c r="AJ46" s="12">
        <f t="shared" si="75"/>
        <v>1192.5355852995499</v>
      </c>
      <c r="AK46" s="12">
        <f t="shared" si="75"/>
        <v>1192.5355852995499</v>
      </c>
    </row>
    <row r="47" spans="1:37" x14ac:dyDescent="0.3">
      <c r="A47" s="69" t="s">
        <v>49</v>
      </c>
      <c r="B47" s="72">
        <v>1428</v>
      </c>
      <c r="C47" s="73">
        <v>1623</v>
      </c>
      <c r="D47" s="116">
        <v>214</v>
      </c>
      <c r="E47" s="117">
        <v>644</v>
      </c>
      <c r="F47" s="116">
        <v>1130</v>
      </c>
      <c r="G47" s="117">
        <v>663</v>
      </c>
      <c r="H47" s="116">
        <v>338</v>
      </c>
      <c r="I47" s="115">
        <v>756</v>
      </c>
      <c r="J47" s="112">
        <f t="shared" si="71"/>
        <v>771.12</v>
      </c>
      <c r="K47" s="112">
        <f t="shared" si="63"/>
        <v>786.54240000000004</v>
      </c>
      <c r="L47" s="112">
        <f t="shared" si="63"/>
        <v>802.27324800000008</v>
      </c>
      <c r="M47" s="112">
        <f t="shared" si="63"/>
        <v>818.31871296000008</v>
      </c>
      <c r="N47" s="112">
        <f t="shared" si="64"/>
        <v>834.68508721920011</v>
      </c>
      <c r="O47" s="112">
        <f t="shared" si="64"/>
        <v>851.37878896358416</v>
      </c>
      <c r="P47" s="112">
        <f t="shared" si="65"/>
        <v>864.14947079803778</v>
      </c>
      <c r="Q47" s="112">
        <f t="shared" si="65"/>
        <v>877.11171286000831</v>
      </c>
      <c r="R47" s="112">
        <f t="shared" si="65"/>
        <v>890.26838855290839</v>
      </c>
      <c r="S47" s="112">
        <f t="shared" si="65"/>
        <v>903.62241438120191</v>
      </c>
      <c r="T47" s="112">
        <f t="shared" si="66"/>
        <v>917.17675059691987</v>
      </c>
      <c r="U47" s="112">
        <f t="shared" si="66"/>
        <v>930.9344018558736</v>
      </c>
      <c r="V47" s="112">
        <f t="shared" si="66"/>
        <v>944.89841788371166</v>
      </c>
      <c r="W47" s="12">
        <f t="shared" ref="W47" si="76">V47*1.01</f>
        <v>954.34740206254878</v>
      </c>
      <c r="X47" s="12">
        <f t="shared" ref="X47" si="77">W47*1.01</f>
        <v>963.89087608317425</v>
      </c>
      <c r="Y47" s="12">
        <f t="shared" si="69"/>
        <v>973.52978484400603</v>
      </c>
      <c r="Z47" s="12">
        <f t="shared" si="69"/>
        <v>983.26508269244607</v>
      </c>
      <c r="AA47" s="12">
        <f t="shared" si="69"/>
        <v>993.09773351937054</v>
      </c>
      <c r="AB47" s="12">
        <f t="shared" si="69"/>
        <v>1003.0287108545642</v>
      </c>
      <c r="AC47" s="12">
        <f t="shared" si="69"/>
        <v>1013.0589979631098</v>
      </c>
      <c r="AD47" s="12">
        <f t="shared" si="69"/>
        <v>1023.1895879427409</v>
      </c>
      <c r="AE47" s="12">
        <f t="shared" ref="AE47" si="78">AD47*1.01</f>
        <v>1033.4214838221683</v>
      </c>
      <c r="AF47" s="12">
        <f t="shared" si="75"/>
        <v>1033.4214838221683</v>
      </c>
      <c r="AG47" s="12">
        <f t="shared" si="75"/>
        <v>1033.4214838221683</v>
      </c>
      <c r="AH47" s="12">
        <f t="shared" si="75"/>
        <v>1033.4214838221683</v>
      </c>
      <c r="AI47" s="12">
        <f t="shared" si="75"/>
        <v>1033.4214838221683</v>
      </c>
      <c r="AJ47" s="12">
        <f t="shared" si="75"/>
        <v>1033.4214838221683</v>
      </c>
      <c r="AK47" s="12">
        <f t="shared" si="75"/>
        <v>1033.4214838221683</v>
      </c>
    </row>
    <row r="48" spans="1:37" x14ac:dyDescent="0.3">
      <c r="A48" s="14" t="s">
        <v>50</v>
      </c>
      <c r="B48" s="70">
        <v>455</v>
      </c>
      <c r="C48" s="71">
        <v>634</v>
      </c>
      <c r="D48" s="113">
        <v>383</v>
      </c>
      <c r="E48" s="114">
        <v>458</v>
      </c>
      <c r="F48" s="113">
        <v>563</v>
      </c>
      <c r="G48" s="114">
        <v>741</v>
      </c>
      <c r="H48" s="113">
        <v>820</v>
      </c>
      <c r="I48" s="115">
        <v>1032</v>
      </c>
      <c r="J48" s="112">
        <f t="shared" si="71"/>
        <v>1052.6400000000001</v>
      </c>
      <c r="K48" s="112">
        <f t="shared" si="63"/>
        <v>1073.6928</v>
      </c>
      <c r="L48" s="112">
        <f t="shared" si="63"/>
        <v>1095.1666560000001</v>
      </c>
      <c r="M48" s="112">
        <f t="shared" si="63"/>
        <v>1117.0699891200002</v>
      </c>
      <c r="N48" s="112">
        <f t="shared" si="64"/>
        <v>1139.4113889024002</v>
      </c>
      <c r="O48" s="112">
        <f t="shared" si="64"/>
        <v>1162.1996166804481</v>
      </c>
      <c r="P48" s="112">
        <f t="shared" si="65"/>
        <v>1179.6326109306547</v>
      </c>
      <c r="Q48" s="112">
        <f t="shared" si="65"/>
        <v>1197.3271000946145</v>
      </c>
      <c r="R48" s="112">
        <f t="shared" si="65"/>
        <v>1215.2870065960335</v>
      </c>
      <c r="S48" s="112">
        <f t="shared" si="65"/>
        <v>1233.5163116949739</v>
      </c>
      <c r="T48" s="112">
        <f t="shared" si="66"/>
        <v>1252.0190563703984</v>
      </c>
      <c r="U48" s="112">
        <f t="shared" si="66"/>
        <v>1270.7993422159543</v>
      </c>
      <c r="V48" s="112">
        <f t="shared" si="66"/>
        <v>1289.8613323491934</v>
      </c>
      <c r="W48" s="12">
        <f t="shared" ref="W48" si="79">V48*1.01</f>
        <v>1302.7599456726853</v>
      </c>
      <c r="X48" s="12">
        <f t="shared" ref="X48" si="80">W48*1.01</f>
        <v>1315.7875451294121</v>
      </c>
      <c r="Y48" s="12">
        <f t="shared" si="69"/>
        <v>1328.9454205807062</v>
      </c>
      <c r="Z48" s="12">
        <f t="shared" si="69"/>
        <v>1342.2348747865133</v>
      </c>
      <c r="AA48" s="12">
        <f t="shared" si="69"/>
        <v>1355.6572235343783</v>
      </c>
      <c r="AB48" s="12">
        <f t="shared" si="69"/>
        <v>1369.2137957697221</v>
      </c>
      <c r="AC48" s="12">
        <f t="shared" si="69"/>
        <v>1382.9059337274193</v>
      </c>
      <c r="AD48" s="12">
        <f t="shared" si="69"/>
        <v>1396.7349930646935</v>
      </c>
      <c r="AE48" s="12">
        <f t="shared" ref="AE48" si="81">AD48*1.01</f>
        <v>1410.7023429953406</v>
      </c>
      <c r="AF48" s="12">
        <f t="shared" si="75"/>
        <v>1410.7023429953406</v>
      </c>
      <c r="AG48" s="12">
        <f t="shared" si="75"/>
        <v>1410.7023429953406</v>
      </c>
      <c r="AH48" s="12">
        <f t="shared" si="75"/>
        <v>1410.7023429953406</v>
      </c>
      <c r="AI48" s="12">
        <f t="shared" si="75"/>
        <v>1410.7023429953406</v>
      </c>
      <c r="AJ48" s="12">
        <f t="shared" si="75"/>
        <v>1410.7023429953406</v>
      </c>
      <c r="AK48" s="12">
        <f t="shared" si="75"/>
        <v>1410.7023429953406</v>
      </c>
    </row>
    <row r="49" spans="1:37" x14ac:dyDescent="0.3">
      <c r="A49" s="14" t="s">
        <v>51</v>
      </c>
      <c r="B49" s="70">
        <v>789</v>
      </c>
      <c r="C49" s="71">
        <v>773</v>
      </c>
      <c r="D49" s="113">
        <v>310</v>
      </c>
      <c r="E49" s="114">
        <v>325</v>
      </c>
      <c r="F49" s="113">
        <v>556</v>
      </c>
      <c r="G49" s="114">
        <v>450</v>
      </c>
      <c r="H49" s="113">
        <v>409</v>
      </c>
      <c r="I49" s="115">
        <v>501.59999999999997</v>
      </c>
      <c r="J49" s="112">
        <f t="shared" si="71"/>
        <v>511.63199999999995</v>
      </c>
      <c r="K49" s="112">
        <f t="shared" si="63"/>
        <v>521.86464000000001</v>
      </c>
      <c r="L49" s="112">
        <f t="shared" si="63"/>
        <v>532.30193280000003</v>
      </c>
      <c r="M49" s="112">
        <f t="shared" si="63"/>
        <v>542.947971456</v>
      </c>
      <c r="N49" s="112">
        <f t="shared" si="64"/>
        <v>553.80693088511998</v>
      </c>
      <c r="O49" s="112">
        <f t="shared" si="64"/>
        <v>564.88306950282242</v>
      </c>
      <c r="P49" s="112">
        <f t="shared" si="65"/>
        <v>573.35631554536474</v>
      </c>
      <c r="Q49" s="112">
        <f t="shared" si="65"/>
        <v>581.9566602785452</v>
      </c>
      <c r="R49" s="112">
        <f t="shared" si="65"/>
        <v>590.68601018272329</v>
      </c>
      <c r="S49" s="112">
        <f t="shared" si="65"/>
        <v>599.54630033546414</v>
      </c>
      <c r="T49" s="112">
        <f t="shared" si="66"/>
        <v>608.53949484049599</v>
      </c>
      <c r="U49" s="112">
        <f t="shared" si="66"/>
        <v>617.66758726310331</v>
      </c>
      <c r="V49" s="112">
        <f t="shared" si="66"/>
        <v>626.93260107204981</v>
      </c>
      <c r="W49" s="12">
        <f t="shared" ref="W49" si="82">V49*1.01</f>
        <v>633.20192708277034</v>
      </c>
      <c r="X49" s="12">
        <f t="shared" ref="X49" si="83">W49*1.01</f>
        <v>639.53394635359803</v>
      </c>
      <c r="Y49" s="12">
        <f t="shared" si="69"/>
        <v>645.92928581713397</v>
      </c>
      <c r="Z49" s="12">
        <f t="shared" si="69"/>
        <v>652.38857867530533</v>
      </c>
      <c r="AA49" s="12">
        <f t="shared" si="69"/>
        <v>658.91246446205844</v>
      </c>
      <c r="AB49" s="12">
        <f t="shared" si="69"/>
        <v>665.50158910667903</v>
      </c>
      <c r="AC49" s="12">
        <f t="shared" si="69"/>
        <v>672.15660499774583</v>
      </c>
      <c r="AD49" s="12">
        <f t="shared" si="69"/>
        <v>678.8781710477233</v>
      </c>
      <c r="AE49" s="12">
        <f t="shared" ref="AE49" si="84">AD49*1.01</f>
        <v>685.66695275820052</v>
      </c>
      <c r="AF49" s="12">
        <f t="shared" si="75"/>
        <v>685.66695275820052</v>
      </c>
      <c r="AG49" s="12">
        <f t="shared" si="75"/>
        <v>685.66695275820052</v>
      </c>
      <c r="AH49" s="12">
        <f t="shared" si="75"/>
        <v>685.66695275820052</v>
      </c>
      <c r="AI49" s="12">
        <f t="shared" si="75"/>
        <v>685.66695275820052</v>
      </c>
      <c r="AJ49" s="12">
        <f t="shared" si="75"/>
        <v>685.66695275820052</v>
      </c>
      <c r="AK49" s="12">
        <f t="shared" si="75"/>
        <v>685.66695275820052</v>
      </c>
    </row>
    <row r="50" spans="1:37" x14ac:dyDescent="0.3">
      <c r="A50" s="14" t="s">
        <v>52</v>
      </c>
      <c r="B50" s="72">
        <v>1257</v>
      </c>
      <c r="C50" s="73">
        <v>1333</v>
      </c>
      <c r="D50" s="116">
        <v>455</v>
      </c>
      <c r="E50" s="117">
        <v>381</v>
      </c>
      <c r="F50" s="116">
        <v>786</v>
      </c>
      <c r="G50" s="117">
        <v>572</v>
      </c>
      <c r="H50" s="116">
        <v>574</v>
      </c>
      <c r="I50" s="115">
        <v>850.80000000000007</v>
      </c>
      <c r="J50" s="112">
        <f t="shared" si="71"/>
        <v>867.81600000000003</v>
      </c>
      <c r="K50" s="112">
        <f t="shared" si="63"/>
        <v>885.17232000000001</v>
      </c>
      <c r="L50" s="112">
        <f t="shared" si="63"/>
        <v>902.87576639999997</v>
      </c>
      <c r="M50" s="112">
        <f t="shared" si="63"/>
        <v>920.933281728</v>
      </c>
      <c r="N50" s="112">
        <f t="shared" si="64"/>
        <v>939.35194736256005</v>
      </c>
      <c r="O50" s="112">
        <f t="shared" si="64"/>
        <v>958.13898630981123</v>
      </c>
      <c r="P50" s="112">
        <f t="shared" si="65"/>
        <v>972.51107110445832</v>
      </c>
      <c r="Q50" s="112">
        <f t="shared" si="65"/>
        <v>987.09873717102505</v>
      </c>
      <c r="R50" s="112">
        <f t="shared" si="65"/>
        <v>1001.9052182285903</v>
      </c>
      <c r="S50" s="112">
        <f t="shared" si="65"/>
        <v>1016.933796502019</v>
      </c>
      <c r="T50" s="112">
        <f t="shared" si="66"/>
        <v>1032.1878034495492</v>
      </c>
      <c r="U50" s="112">
        <f t="shared" si="66"/>
        <v>1047.6706205012922</v>
      </c>
      <c r="V50" s="112">
        <f t="shared" si="66"/>
        <v>1063.3856798088116</v>
      </c>
      <c r="W50" s="12">
        <f t="shared" ref="W50" si="85">V50*1.01</f>
        <v>1074.0195366068997</v>
      </c>
      <c r="X50" s="12">
        <f t="shared" ref="X50" si="86">W50*1.01</f>
        <v>1084.7597319729687</v>
      </c>
      <c r="Y50" s="12">
        <f t="shared" si="69"/>
        <v>1095.6073292926983</v>
      </c>
      <c r="Z50" s="12">
        <f t="shared" si="69"/>
        <v>1106.5634025856252</v>
      </c>
      <c r="AA50" s="12">
        <f t="shared" si="69"/>
        <v>1117.6290366114815</v>
      </c>
      <c r="AB50" s="12">
        <f t="shared" si="69"/>
        <v>1128.8053269775965</v>
      </c>
      <c r="AC50" s="12">
        <f t="shared" si="69"/>
        <v>1140.0933802473724</v>
      </c>
      <c r="AD50" s="12">
        <f t="shared" si="69"/>
        <v>1151.494314049846</v>
      </c>
      <c r="AE50" s="12">
        <f t="shared" ref="AE50" si="87">AD50*1.01</f>
        <v>1163.0092571903444</v>
      </c>
      <c r="AF50" s="12">
        <f t="shared" si="75"/>
        <v>1163.0092571903444</v>
      </c>
      <c r="AG50" s="12">
        <f t="shared" si="75"/>
        <v>1163.0092571903444</v>
      </c>
      <c r="AH50" s="12">
        <f t="shared" si="75"/>
        <v>1163.0092571903444</v>
      </c>
      <c r="AI50" s="12">
        <f t="shared" si="75"/>
        <v>1163.0092571903444</v>
      </c>
      <c r="AJ50" s="12">
        <f t="shared" si="75"/>
        <v>1163.0092571903444</v>
      </c>
      <c r="AK50" s="12">
        <f t="shared" si="75"/>
        <v>1163.0092571903444</v>
      </c>
    </row>
    <row r="51" spans="1:37" x14ac:dyDescent="0.3">
      <c r="A51" s="14" t="s">
        <v>53</v>
      </c>
      <c r="B51" s="72">
        <v>5540</v>
      </c>
      <c r="C51" s="73">
        <v>6066</v>
      </c>
      <c r="D51" s="116">
        <v>7492</v>
      </c>
      <c r="E51" s="117">
        <v>7702</v>
      </c>
      <c r="F51" s="116">
        <v>7915</v>
      </c>
      <c r="G51" s="117">
        <v>5373</v>
      </c>
      <c r="H51" s="116">
        <v>6181</v>
      </c>
      <c r="I51" s="115">
        <v>7804.7999999999993</v>
      </c>
      <c r="J51" s="112">
        <f t="shared" si="71"/>
        <v>7960.8959999999997</v>
      </c>
      <c r="K51" s="112">
        <f t="shared" si="63"/>
        <v>8120.1139199999998</v>
      </c>
      <c r="L51" s="112">
        <f t="shared" si="63"/>
        <v>8282.5161984000006</v>
      </c>
      <c r="M51" s="112">
        <f t="shared" si="63"/>
        <v>8448.1665223680011</v>
      </c>
      <c r="N51" s="112">
        <f t="shared" si="64"/>
        <v>8617.129852815362</v>
      </c>
      <c r="O51" s="112">
        <f t="shared" si="64"/>
        <v>8789.4724498716696</v>
      </c>
      <c r="P51" s="112">
        <f t="shared" si="65"/>
        <v>8921.3145366197441</v>
      </c>
      <c r="Q51" s="112">
        <f t="shared" si="65"/>
        <v>9055.1342546690394</v>
      </c>
      <c r="R51" s="112">
        <f t="shared" si="65"/>
        <v>9190.9612684890744</v>
      </c>
      <c r="S51" s="112">
        <f t="shared" si="65"/>
        <v>9328.8256875164097</v>
      </c>
      <c r="T51" s="112">
        <f t="shared" si="66"/>
        <v>9468.7580728291541</v>
      </c>
      <c r="U51" s="112">
        <f t="shared" si="66"/>
        <v>9610.7894439215906</v>
      </c>
      <c r="V51" s="112">
        <f t="shared" si="66"/>
        <v>9754.9512855804132</v>
      </c>
      <c r="W51" s="12">
        <f t="shared" ref="W51" si="88">V51*1.01</f>
        <v>9852.5007984362182</v>
      </c>
      <c r="X51" s="12">
        <f t="shared" ref="X51" si="89">W51*1.01</f>
        <v>9951.0258064205809</v>
      </c>
      <c r="Y51" s="12">
        <f t="shared" si="69"/>
        <v>10050.536064484786</v>
      </c>
      <c r="Z51" s="12">
        <f t="shared" si="69"/>
        <v>10151.041425129633</v>
      </c>
      <c r="AA51" s="12">
        <f t="shared" si="69"/>
        <v>10252.551839380929</v>
      </c>
      <c r="AB51" s="12">
        <f t="shared" si="69"/>
        <v>10355.077357774739</v>
      </c>
      <c r="AC51" s="12">
        <f t="shared" si="69"/>
        <v>10458.628131352487</v>
      </c>
      <c r="AD51" s="12">
        <f t="shared" si="69"/>
        <v>10563.214412666011</v>
      </c>
      <c r="AE51" s="12">
        <f t="shared" ref="AE51" si="90">AD51*1.01</f>
        <v>10668.846556792672</v>
      </c>
      <c r="AF51" s="12">
        <f t="shared" si="75"/>
        <v>10668.846556792672</v>
      </c>
      <c r="AG51" s="12">
        <f t="shared" si="75"/>
        <v>10668.846556792672</v>
      </c>
      <c r="AH51" s="12">
        <f t="shared" si="75"/>
        <v>10668.846556792672</v>
      </c>
      <c r="AI51" s="12">
        <f t="shared" si="75"/>
        <v>10668.846556792672</v>
      </c>
      <c r="AJ51" s="12">
        <f t="shared" si="75"/>
        <v>10668.846556792672</v>
      </c>
      <c r="AK51" s="12">
        <f t="shared" si="75"/>
        <v>10668.846556792672</v>
      </c>
    </row>
    <row r="52" spans="1:37" x14ac:dyDescent="0.3">
      <c r="A52" s="14" t="s">
        <v>54</v>
      </c>
      <c r="B52" s="103" t="s">
        <v>60</v>
      </c>
      <c r="C52" s="103" t="s">
        <v>60</v>
      </c>
      <c r="D52" s="118">
        <v>0</v>
      </c>
      <c r="E52" s="119">
        <v>0</v>
      </c>
      <c r="F52" s="118">
        <v>0</v>
      </c>
      <c r="G52" s="119">
        <v>0</v>
      </c>
      <c r="H52" s="118">
        <v>0</v>
      </c>
      <c r="I52" s="115">
        <v>163.19999999999999</v>
      </c>
      <c r="J52" s="112">
        <f t="shared" si="71"/>
        <v>166.464</v>
      </c>
      <c r="K52" s="112">
        <f t="shared" si="63"/>
        <v>169.79328000000001</v>
      </c>
      <c r="L52" s="112">
        <f t="shared" si="63"/>
        <v>173.18914560000002</v>
      </c>
      <c r="M52" s="112">
        <f t="shared" si="63"/>
        <v>176.65292851200002</v>
      </c>
      <c r="N52" s="112">
        <f t="shared" si="64"/>
        <v>180.18598708224002</v>
      </c>
      <c r="O52" s="112">
        <f t="shared" si="64"/>
        <v>183.78970682388481</v>
      </c>
      <c r="P52" s="112">
        <f t="shared" si="65"/>
        <v>186.54655242624307</v>
      </c>
      <c r="Q52" s="112">
        <f t="shared" si="65"/>
        <v>189.34475071263668</v>
      </c>
      <c r="R52" s="112">
        <f t="shared" si="65"/>
        <v>192.18492197332623</v>
      </c>
      <c r="S52" s="112">
        <f t="shared" si="65"/>
        <v>195.0676958029261</v>
      </c>
      <c r="T52" s="112">
        <f t="shared" si="66"/>
        <v>197.99371123996997</v>
      </c>
      <c r="U52" s="112">
        <f t="shared" si="66"/>
        <v>200.96361690856949</v>
      </c>
      <c r="V52" s="112">
        <f t="shared" si="66"/>
        <v>203.97807116219801</v>
      </c>
      <c r="W52" s="12">
        <f t="shared" ref="W52" si="91">V52*1.01</f>
        <v>206.01785187381998</v>
      </c>
      <c r="X52" s="12">
        <f t="shared" ref="X52" si="92">W52*1.01</f>
        <v>208.07803039255819</v>
      </c>
      <c r="Y52" s="12">
        <f t="shared" si="69"/>
        <v>210.15881069648378</v>
      </c>
      <c r="Z52" s="12">
        <f t="shared" si="69"/>
        <v>212.26039880344862</v>
      </c>
      <c r="AA52" s="12">
        <f t="shared" si="69"/>
        <v>214.38300279148311</v>
      </c>
      <c r="AB52" s="12">
        <f t="shared" si="69"/>
        <v>216.52683281939795</v>
      </c>
      <c r="AC52" s="12">
        <f t="shared" si="69"/>
        <v>218.69210114759193</v>
      </c>
      <c r="AD52" s="12">
        <f t="shared" si="69"/>
        <v>220.87902215906786</v>
      </c>
      <c r="AE52" s="12">
        <f t="shared" ref="AE52" si="93">AD52*1.01</f>
        <v>223.08781238065853</v>
      </c>
      <c r="AF52" s="12">
        <f t="shared" si="75"/>
        <v>223.08781238065853</v>
      </c>
      <c r="AG52" s="12">
        <f t="shared" si="75"/>
        <v>223.08781238065853</v>
      </c>
      <c r="AH52" s="12">
        <f t="shared" si="75"/>
        <v>223.08781238065853</v>
      </c>
      <c r="AI52" s="12">
        <f t="shared" si="75"/>
        <v>223.08781238065853</v>
      </c>
      <c r="AJ52" s="12">
        <f t="shared" si="75"/>
        <v>223.08781238065853</v>
      </c>
      <c r="AK52" s="12">
        <f t="shared" si="75"/>
        <v>223.08781238065853</v>
      </c>
    </row>
    <row r="53" spans="1:37" ht="14.5" thickBot="1" x14ac:dyDescent="0.35">
      <c r="A53" s="74" t="s">
        <v>55</v>
      </c>
      <c r="B53" s="103" t="s">
        <v>60</v>
      </c>
      <c r="C53" s="103" t="s">
        <v>60</v>
      </c>
      <c r="D53" s="120">
        <v>0</v>
      </c>
      <c r="E53" s="121">
        <v>5</v>
      </c>
      <c r="F53" s="122">
        <v>10</v>
      </c>
      <c r="G53" s="121">
        <v>10</v>
      </c>
      <c r="H53" s="122">
        <v>4</v>
      </c>
      <c r="I53" s="123">
        <v>94.800000000000011</v>
      </c>
      <c r="J53" s="112">
        <f t="shared" si="71"/>
        <v>96.696000000000012</v>
      </c>
      <c r="K53" s="112">
        <f t="shared" si="63"/>
        <v>98.629920000000013</v>
      </c>
      <c r="L53" s="112">
        <f t="shared" si="63"/>
        <v>100.60251840000001</v>
      </c>
      <c r="M53" s="112">
        <f t="shared" si="63"/>
        <v>102.61456876800001</v>
      </c>
      <c r="N53" s="112">
        <f t="shared" si="64"/>
        <v>104.66686014336001</v>
      </c>
      <c r="O53" s="112">
        <f t="shared" si="64"/>
        <v>106.76019734622722</v>
      </c>
      <c r="P53" s="112">
        <f t="shared" si="65"/>
        <v>108.36160030642061</v>
      </c>
      <c r="Q53" s="112">
        <f t="shared" si="65"/>
        <v>109.98702431101691</v>
      </c>
      <c r="R53" s="112">
        <f t="shared" si="65"/>
        <v>111.63682967568215</v>
      </c>
      <c r="S53" s="112">
        <f t="shared" si="65"/>
        <v>113.31138212081737</v>
      </c>
      <c r="T53" s="112">
        <f t="shared" si="66"/>
        <v>115.01105285262962</v>
      </c>
      <c r="U53" s="112">
        <f t="shared" si="66"/>
        <v>116.73621864541906</v>
      </c>
      <c r="V53" s="112">
        <f t="shared" si="66"/>
        <v>118.48726192510033</v>
      </c>
      <c r="W53" s="12">
        <f t="shared" ref="W53" si="94">V53*1.01</f>
        <v>119.67213454435134</v>
      </c>
      <c r="X53" s="12">
        <f t="shared" ref="X53" si="95">W53*1.01</f>
        <v>120.86885588979486</v>
      </c>
      <c r="Y53" s="12">
        <f t="shared" si="69"/>
        <v>122.07754444869281</v>
      </c>
      <c r="Z53" s="12">
        <f t="shared" si="69"/>
        <v>123.29831989317974</v>
      </c>
      <c r="AA53" s="12">
        <f t="shared" si="69"/>
        <v>124.53130309211154</v>
      </c>
      <c r="AB53" s="12">
        <f t="shared" si="69"/>
        <v>125.77661612303265</v>
      </c>
      <c r="AC53" s="12">
        <f t="shared" si="69"/>
        <v>127.03438228426297</v>
      </c>
      <c r="AD53" s="12">
        <f t="shared" si="69"/>
        <v>128.30472610710561</v>
      </c>
      <c r="AE53" s="12">
        <f t="shared" ref="AE53" si="96">AD53*1.01</f>
        <v>129.58777336817667</v>
      </c>
      <c r="AF53" s="12">
        <f t="shared" si="75"/>
        <v>129.58777336817667</v>
      </c>
      <c r="AG53" s="12">
        <f t="shared" si="75"/>
        <v>129.58777336817667</v>
      </c>
      <c r="AH53" s="12">
        <f t="shared" si="75"/>
        <v>129.58777336817667</v>
      </c>
      <c r="AI53" s="12">
        <f t="shared" si="75"/>
        <v>129.58777336817667</v>
      </c>
      <c r="AJ53" s="12">
        <f t="shared" si="75"/>
        <v>129.58777336817667</v>
      </c>
      <c r="AK53" s="12">
        <f t="shared" si="75"/>
        <v>129.58777336817667</v>
      </c>
    </row>
    <row r="54" spans="1:37" ht="14.5" thickBot="1" x14ac:dyDescent="0.35">
      <c r="A54" s="95" t="s">
        <v>32</v>
      </c>
      <c r="B54" s="124">
        <f>SUM(B45:B53)</f>
        <v>11558</v>
      </c>
      <c r="C54" s="125">
        <f>SUM(C45:C53)</f>
        <v>12625</v>
      </c>
      <c r="D54" s="124">
        <f>SUM(D45:D53)</f>
        <v>9638</v>
      </c>
      <c r="E54" s="125">
        <f>SUM(E45:E53)</f>
        <v>10343</v>
      </c>
      <c r="F54" s="124">
        <f t="shared" ref="F54:G54" si="97">SUM(F45:F53)</f>
        <v>11986</v>
      </c>
      <c r="G54" s="126">
        <f t="shared" si="97"/>
        <v>8965</v>
      </c>
      <c r="H54" s="126">
        <f t="shared" ref="H54:O54" si="98">SUM(H45:H53)</f>
        <v>9379</v>
      </c>
      <c r="I54" s="126">
        <f t="shared" si="98"/>
        <v>12740.399999999998</v>
      </c>
      <c r="J54" s="126">
        <f t="shared" si="98"/>
        <v>12995.207999999999</v>
      </c>
      <c r="K54" s="126">
        <f t="shared" si="98"/>
        <v>13255.112159999999</v>
      </c>
      <c r="L54" s="126">
        <f t="shared" si="98"/>
        <v>13520.2144032</v>
      </c>
      <c r="M54" s="126">
        <f t="shared" si="98"/>
        <v>13790.618691264002</v>
      </c>
      <c r="N54" s="126">
        <f t="shared" si="98"/>
        <v>14066.431065089284</v>
      </c>
      <c r="O54" s="126">
        <f t="shared" si="98"/>
        <v>14347.759686391071</v>
      </c>
      <c r="P54" s="126">
        <f t="shared" ref="P54:S54" si="99">SUM(P45:P53)</f>
        <v>14562.976081686933</v>
      </c>
      <c r="Q54" s="96">
        <f t="shared" si="99"/>
        <v>14781.420722912237</v>
      </c>
      <c r="R54" s="96">
        <f t="shared" si="99"/>
        <v>15003.142033755919</v>
      </c>
      <c r="S54" s="96">
        <f t="shared" si="99"/>
        <v>15228.189164262254</v>
      </c>
      <c r="T54" s="96">
        <f t="shared" ref="T54:X54" si="100">SUM(T45:T53)</f>
        <v>15456.612001726187</v>
      </c>
      <c r="U54" s="96">
        <f t="shared" si="100"/>
        <v>15688.46118175208</v>
      </c>
      <c r="V54" s="96">
        <f t="shared" si="100"/>
        <v>15923.788099478359</v>
      </c>
      <c r="W54" s="96">
        <f t="shared" si="100"/>
        <v>16083.025980473141</v>
      </c>
      <c r="X54" s="96">
        <f t="shared" si="100"/>
        <v>16243.856240277875</v>
      </c>
      <c r="Y54" s="96">
        <f t="shared" ref="Y54:AK54" si="101">SUM(Y45:Y53)</f>
        <v>16406.294802680655</v>
      </c>
      <c r="Z54" s="96">
        <f t="shared" si="101"/>
        <v>16570.357750707459</v>
      </c>
      <c r="AA54" s="96">
        <f t="shared" si="101"/>
        <v>16736.061328214531</v>
      </c>
      <c r="AB54" s="96">
        <f t="shared" si="101"/>
        <v>16903.421941496679</v>
      </c>
      <c r="AC54" s="96">
        <f t="shared" si="101"/>
        <v>17072.456160911646</v>
      </c>
      <c r="AD54" s="96">
        <f t="shared" si="101"/>
        <v>17243.180722520759</v>
      </c>
      <c r="AE54" s="96">
        <f t="shared" si="101"/>
        <v>17415.612529745969</v>
      </c>
      <c r="AF54" s="96">
        <f t="shared" si="101"/>
        <v>17415.612529745969</v>
      </c>
      <c r="AG54" s="96">
        <f t="shared" si="101"/>
        <v>17415.612529745969</v>
      </c>
      <c r="AH54" s="96">
        <f t="shared" si="101"/>
        <v>17415.612529745969</v>
      </c>
      <c r="AI54" s="96">
        <f t="shared" si="101"/>
        <v>17415.612529745969</v>
      </c>
      <c r="AJ54" s="96">
        <f t="shared" si="101"/>
        <v>17415.612529745969</v>
      </c>
      <c r="AK54" s="96">
        <f t="shared" si="101"/>
        <v>17415.612529745969</v>
      </c>
    </row>
    <row r="55" spans="1:37" x14ac:dyDescent="0.3">
      <c r="K55" s="43"/>
    </row>
    <row r="56" spans="1:37" x14ac:dyDescent="0.3">
      <c r="K56" s="43"/>
    </row>
    <row r="57" spans="1:37" x14ac:dyDescent="0.3">
      <c r="K57" s="43"/>
    </row>
    <row r="58" spans="1:37" x14ac:dyDescent="0.3">
      <c r="K58" s="43"/>
    </row>
    <row r="59" spans="1:37" x14ac:dyDescent="0.3">
      <c r="K59" s="43"/>
    </row>
    <row r="60" spans="1:37" x14ac:dyDescent="0.3">
      <c r="K60" s="43"/>
    </row>
    <row r="61" spans="1:37" x14ac:dyDescent="0.3">
      <c r="K61" s="43"/>
    </row>
  </sheetData>
  <mergeCells count="6">
    <mergeCell ref="A4:G4"/>
    <mergeCell ref="B12:AK12"/>
    <mergeCell ref="A1:A3"/>
    <mergeCell ref="B1:F3"/>
    <mergeCell ref="B43:AK43"/>
    <mergeCell ref="G1:AK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4"/>
  <sheetViews>
    <sheetView topLeftCell="A13" zoomScale="80" zoomScaleNormal="80" workbookViewId="0">
      <pane xSplit="1" topLeftCell="R1" activePane="topRight" state="frozen"/>
      <selection pane="topRight" activeCell="AK14" sqref="AK14:AK35"/>
    </sheetView>
  </sheetViews>
  <sheetFormatPr defaultRowHeight="14.5" x14ac:dyDescent="0.35"/>
  <cols>
    <col min="1" max="1" width="26.26953125" customWidth="1"/>
    <col min="2" max="3" width="8.7265625" customWidth="1"/>
  </cols>
  <sheetData>
    <row r="1" spans="1:115" ht="14.5" customHeight="1" x14ac:dyDescent="0.35">
      <c r="A1" s="149"/>
      <c r="B1" s="315" t="s">
        <v>2</v>
      </c>
      <c r="C1" s="315"/>
      <c r="D1" s="315"/>
      <c r="E1" s="315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</row>
    <row r="2" spans="1:115" ht="14.5" customHeight="1" x14ac:dyDescent="0.35">
      <c r="A2" s="149"/>
      <c r="B2" s="315"/>
      <c r="C2" s="315"/>
      <c r="D2" s="315"/>
      <c r="E2" s="315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</row>
    <row r="3" spans="1:115" ht="20" customHeight="1" x14ac:dyDescent="0.35">
      <c r="A3" s="149"/>
      <c r="B3" s="315"/>
      <c r="C3" s="315"/>
      <c r="D3" s="315"/>
      <c r="E3" s="315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</row>
    <row r="4" spans="1:115" ht="29" customHeight="1" x14ac:dyDescent="0.35">
      <c r="A4" s="306" t="s">
        <v>65</v>
      </c>
      <c r="B4" s="306"/>
      <c r="C4" s="306"/>
      <c r="D4" s="306"/>
      <c r="E4" s="306"/>
      <c r="F4" s="306"/>
      <c r="G4" s="306"/>
      <c r="H4" s="30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2"/>
      <c r="AM4" s="137"/>
    </row>
    <row r="5" spans="1:115" ht="29" customHeight="1" x14ac:dyDescent="0.35">
      <c r="A5" s="41" t="s">
        <v>56</v>
      </c>
      <c r="B5" s="41"/>
      <c r="C5" s="41"/>
      <c r="D5" s="41"/>
      <c r="E5" s="41"/>
      <c r="F5" s="41"/>
      <c r="G5" s="41"/>
      <c r="H5" s="41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2"/>
      <c r="AM5" s="137"/>
    </row>
    <row r="6" spans="1:115" s="137" customFormat="1" ht="14.5" customHeight="1" x14ac:dyDescent="0.35">
      <c r="A6" s="142" t="s">
        <v>33</v>
      </c>
      <c r="B6" s="136"/>
      <c r="C6" s="136"/>
      <c r="D6" s="136"/>
      <c r="E6" s="136"/>
      <c r="F6" s="136"/>
      <c r="G6" s="136"/>
      <c r="H6" s="13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115" s="137" customFormat="1" ht="14.5" customHeight="1" x14ac:dyDescent="0.35">
      <c r="A7" s="143" t="s">
        <v>3</v>
      </c>
      <c r="B7" s="40"/>
      <c r="C7" s="40"/>
      <c r="D7" s="40"/>
      <c r="E7" s="40"/>
      <c r="F7" s="40"/>
      <c r="G7" s="40"/>
      <c r="H7"/>
      <c r="I7" s="138"/>
      <c r="J7" s="84">
        <f>'Status quo+Base Case'!J7</f>
        <v>8.9999999999999998E-4</v>
      </c>
      <c r="K7" s="84">
        <f>'Status quo+Base Case'!K7</f>
        <v>5.9999999999999995E-4</v>
      </c>
      <c r="L7" s="84">
        <f>'Status quo+Base Case'!L7</f>
        <v>4.0000000000000002E-4</v>
      </c>
      <c r="M7" s="84">
        <f>'Status quo+Base Case'!M7</f>
        <v>1E-4</v>
      </c>
      <c r="N7" s="84">
        <f>'Status quo+Base Case'!N7</f>
        <v>-2.0000000000000001E-4</v>
      </c>
      <c r="O7" s="84">
        <f>'Status quo+Base Case'!O7</f>
        <v>-5.0000000000000001E-4</v>
      </c>
      <c r="P7" s="84">
        <f>'Status quo+Base Case'!P7</f>
        <v>-8.0000000000000004E-4</v>
      </c>
      <c r="Q7" s="84">
        <f>'Status quo+Base Case'!Q7</f>
        <v>-1E-3</v>
      </c>
      <c r="R7" s="84">
        <f>'Status quo+Base Case'!R7</f>
        <v>-1.1999999999999999E-3</v>
      </c>
      <c r="S7" s="84">
        <f>'Status quo+Base Case'!S7</f>
        <v>-1.4E-3</v>
      </c>
      <c r="T7" s="84">
        <f>'Status quo+Base Case'!T7</f>
        <v>-1.6000000000000001E-3</v>
      </c>
      <c r="U7" s="84">
        <f>'Status quo+Base Case'!U7</f>
        <v>-1.8E-3</v>
      </c>
      <c r="V7" s="84">
        <f>'Status quo+Base Case'!V7</f>
        <v>-1.9E-3</v>
      </c>
      <c r="W7" s="84">
        <f>'Status quo+Base Case'!W7</f>
        <v>-2E-3</v>
      </c>
      <c r="X7" s="84">
        <f>'Status quo+Base Case'!X7</f>
        <v>-2.0999999999999999E-3</v>
      </c>
      <c r="Y7" s="84">
        <f>'Status quo+Base Case'!Y7</f>
        <v>-2.0999999999999999E-3</v>
      </c>
      <c r="Z7" s="84">
        <f>'Status quo+Base Case'!Z7</f>
        <v>-2.2000000000000001E-3</v>
      </c>
      <c r="AA7" s="84">
        <f>'Status quo+Base Case'!AA7</f>
        <v>-2.2000000000000001E-3</v>
      </c>
      <c r="AB7" s="84">
        <f>'Status quo+Base Case'!AB7</f>
        <v>-2.2000000000000001E-3</v>
      </c>
      <c r="AC7" s="84">
        <f>'Status quo+Base Case'!AC7</f>
        <v>-2.3E-3</v>
      </c>
      <c r="AD7" s="84">
        <f>'Status quo+Base Case'!AD7</f>
        <v>-2.3E-3</v>
      </c>
      <c r="AE7" s="84">
        <f>'Status quo+Base Case'!AE7</f>
        <v>-2.3E-3</v>
      </c>
      <c r="AF7" s="84">
        <f>'Status quo+Base Case'!AF7</f>
        <v>-2.3E-3</v>
      </c>
      <c r="AG7" s="84">
        <f>'Status quo+Base Case'!AG7</f>
        <v>-2.3E-3</v>
      </c>
      <c r="AH7" s="84">
        <f>'Status quo+Base Case'!AH7</f>
        <v>-2.3E-3</v>
      </c>
      <c r="AI7" s="84">
        <f>'Status quo+Base Case'!AI7</f>
        <v>-2.3E-3</v>
      </c>
      <c r="AJ7" s="84">
        <f>'Status quo+Base Case'!AJ7</f>
        <v>-2.3E-3</v>
      </c>
      <c r="AK7" s="84">
        <f>'Status quo+Base Case'!AK7</f>
        <v>-2.2000000000000001E-3</v>
      </c>
      <c r="AL7" s="2"/>
    </row>
    <row r="8" spans="1:115" s="137" customFormat="1" ht="14.5" customHeight="1" x14ac:dyDescent="0.35">
      <c r="A8" s="143" t="s">
        <v>4</v>
      </c>
      <c r="B8" s="40"/>
      <c r="C8" s="40"/>
      <c r="D8" s="40"/>
      <c r="E8" s="40"/>
      <c r="F8" s="40"/>
      <c r="G8" s="40"/>
      <c r="H8"/>
      <c r="I8" s="139"/>
      <c r="J8" s="139">
        <v>0.14000000000000001</v>
      </c>
      <c r="K8" s="139">
        <v>-0.21</v>
      </c>
      <c r="L8" s="139">
        <v>-0.05</v>
      </c>
      <c r="M8" s="139">
        <v>0.01</v>
      </c>
      <c r="N8" s="139">
        <v>0.25</v>
      </c>
      <c r="O8" s="140">
        <v>0.13</v>
      </c>
      <c r="P8" s="140">
        <v>7.0000000000000007E-2</v>
      </c>
      <c r="Q8" s="140">
        <v>0.02</v>
      </c>
      <c r="R8" s="140">
        <v>0.02</v>
      </c>
      <c r="S8" s="140">
        <v>0.02</v>
      </c>
      <c r="T8" s="140">
        <v>0.02</v>
      </c>
      <c r="U8" s="140">
        <v>0.02</v>
      </c>
      <c r="V8" s="140">
        <v>0.02</v>
      </c>
      <c r="W8" s="140">
        <v>1.4999999999999999E-2</v>
      </c>
      <c r="X8" s="140">
        <v>1.4999999999999999E-2</v>
      </c>
      <c r="Y8" s="140">
        <v>1.4999999999999999E-2</v>
      </c>
      <c r="Z8" s="140">
        <v>1.4999999999999999E-2</v>
      </c>
      <c r="AA8" s="140">
        <v>1.2500000000000001E-2</v>
      </c>
      <c r="AB8" s="140">
        <v>1.2500000000000001E-2</v>
      </c>
      <c r="AC8" s="140">
        <v>1.2500000000000001E-2</v>
      </c>
      <c r="AD8" s="140">
        <v>1.2500000000000001E-2</v>
      </c>
      <c r="AE8" s="140">
        <v>1.2500000000000001E-2</v>
      </c>
      <c r="AF8" s="140">
        <v>1.0999999999999999E-2</v>
      </c>
      <c r="AG8" s="140">
        <v>1.0999999999999999E-2</v>
      </c>
      <c r="AH8" s="140">
        <v>1.0999999999999999E-2</v>
      </c>
      <c r="AI8" s="140">
        <v>1.0999999999999999E-2</v>
      </c>
      <c r="AJ8" s="140">
        <v>1.0999999999999999E-2</v>
      </c>
      <c r="AK8" s="140">
        <v>1.0999999999999999E-2</v>
      </c>
      <c r="AL8" s="2"/>
    </row>
    <row r="9" spans="1:115" s="137" customFormat="1" ht="14.5" customHeight="1" x14ac:dyDescent="0.35">
      <c r="A9" s="143" t="s">
        <v>5</v>
      </c>
      <c r="B9" s="40"/>
      <c r="C9" s="40"/>
      <c r="D9" s="40"/>
      <c r="E9" s="40"/>
      <c r="F9" s="40"/>
      <c r="G9" s="40"/>
      <c r="H9"/>
      <c r="I9" s="140"/>
      <c r="J9" s="140">
        <v>-5.0000000000000001E-3</v>
      </c>
      <c r="K9" s="140">
        <v>-5.0000000000000001E-3</v>
      </c>
      <c r="L9" s="140">
        <v>-5.0000000000000001E-3</v>
      </c>
      <c r="M9" s="140">
        <v>-5.0000000000000001E-3</v>
      </c>
      <c r="N9" s="140">
        <v>-5.0000000000000001E-3</v>
      </c>
      <c r="O9" s="140">
        <v>-5.0000000000000001E-3</v>
      </c>
      <c r="P9" s="140">
        <v>-5.0000000000000001E-3</v>
      </c>
      <c r="Q9" s="140">
        <v>-5.0000000000000001E-3</v>
      </c>
      <c r="R9" s="140">
        <v>-0.01</v>
      </c>
      <c r="S9" s="140">
        <v>-0.01</v>
      </c>
      <c r="T9" s="140">
        <v>-0.01</v>
      </c>
      <c r="U9" s="140">
        <v>-0.01</v>
      </c>
      <c r="V9" s="140">
        <v>-0.01</v>
      </c>
      <c r="W9" s="140">
        <v>-0.01</v>
      </c>
      <c r="X9" s="140">
        <v>-0.01</v>
      </c>
      <c r="Y9" s="140">
        <v>-0.01</v>
      </c>
      <c r="Z9" s="140">
        <v>-0.01</v>
      </c>
      <c r="AA9" s="140">
        <v>-0.01</v>
      </c>
      <c r="AB9" s="140">
        <v>-0.01</v>
      </c>
      <c r="AC9" s="140">
        <v>-0.01</v>
      </c>
      <c r="AD9" s="140">
        <v>-0.01</v>
      </c>
      <c r="AE9" s="140">
        <v>-0.01</v>
      </c>
      <c r="AF9" s="140">
        <v>-0.01</v>
      </c>
      <c r="AG9" s="140">
        <v>-0.01</v>
      </c>
      <c r="AH9" s="140">
        <v>-0.01</v>
      </c>
      <c r="AI9" s="140">
        <v>-0.01</v>
      </c>
      <c r="AJ9" s="140">
        <v>-0.01</v>
      </c>
      <c r="AK9" s="140">
        <v>-0.01</v>
      </c>
      <c r="AL9" s="2"/>
    </row>
    <row r="10" spans="1:115" x14ac:dyDescent="0.35">
      <c r="A10" s="144" t="s">
        <v>6</v>
      </c>
      <c r="B10" s="40"/>
      <c r="C10" s="40"/>
      <c r="D10" s="40"/>
      <c r="E10" s="40"/>
      <c r="F10" s="40"/>
      <c r="G10" s="40"/>
      <c r="I10" s="141"/>
      <c r="J10" s="141">
        <f t="shared" ref="J10:AK10" si="0">J7+J8+J9</f>
        <v>0.13590000000000002</v>
      </c>
      <c r="K10" s="141">
        <f t="shared" si="0"/>
        <v>-0.21440000000000001</v>
      </c>
      <c r="L10" s="141">
        <f t="shared" si="0"/>
        <v>-5.4600000000000003E-2</v>
      </c>
      <c r="M10" s="141">
        <f t="shared" si="0"/>
        <v>5.0999999999999995E-3</v>
      </c>
      <c r="N10" s="141">
        <f t="shared" si="0"/>
        <v>0.24479999999999999</v>
      </c>
      <c r="O10" s="141">
        <f t="shared" si="0"/>
        <v>0.1245</v>
      </c>
      <c r="P10" s="141">
        <f t="shared" si="0"/>
        <v>6.4200000000000007E-2</v>
      </c>
      <c r="Q10" s="141">
        <f t="shared" si="0"/>
        <v>1.3999999999999999E-2</v>
      </c>
      <c r="R10" s="141">
        <f t="shared" si="0"/>
        <v>8.8000000000000005E-3</v>
      </c>
      <c r="S10" s="141">
        <f t="shared" si="0"/>
        <v>8.6000000000000017E-3</v>
      </c>
      <c r="T10" s="141">
        <f t="shared" si="0"/>
        <v>8.3999999999999995E-3</v>
      </c>
      <c r="U10" s="141">
        <f t="shared" si="0"/>
        <v>8.2000000000000007E-3</v>
      </c>
      <c r="V10" s="141">
        <f t="shared" si="0"/>
        <v>8.1000000000000013E-3</v>
      </c>
      <c r="W10" s="141">
        <f t="shared" si="0"/>
        <v>2.9999999999999992E-3</v>
      </c>
      <c r="X10" s="141">
        <f t="shared" si="0"/>
        <v>2.8999999999999998E-3</v>
      </c>
      <c r="Y10" s="141">
        <f t="shared" si="0"/>
        <v>2.8999999999999998E-3</v>
      </c>
      <c r="Z10" s="141">
        <f t="shared" si="0"/>
        <v>2.7999999999999987E-3</v>
      </c>
      <c r="AA10" s="141">
        <f t="shared" si="0"/>
        <v>2.9999999999999992E-4</v>
      </c>
      <c r="AB10" s="141">
        <f t="shared" si="0"/>
        <v>2.9999999999999992E-4</v>
      </c>
      <c r="AC10" s="141">
        <f t="shared" si="0"/>
        <v>2.0000000000000052E-4</v>
      </c>
      <c r="AD10" s="141">
        <f t="shared" si="0"/>
        <v>2.0000000000000052E-4</v>
      </c>
      <c r="AE10" s="141">
        <f t="shared" si="0"/>
        <v>2.0000000000000052E-4</v>
      </c>
      <c r="AF10" s="141">
        <f t="shared" si="0"/>
        <v>-1.3000000000000008E-3</v>
      </c>
      <c r="AG10" s="141">
        <f t="shared" si="0"/>
        <v>-1.3000000000000008E-3</v>
      </c>
      <c r="AH10" s="141">
        <f t="shared" si="0"/>
        <v>-1.3000000000000008E-3</v>
      </c>
      <c r="AI10" s="141">
        <f t="shared" si="0"/>
        <v>-1.3000000000000008E-3</v>
      </c>
      <c r="AJ10" s="141">
        <f t="shared" si="0"/>
        <v>-1.3000000000000008E-3</v>
      </c>
      <c r="AK10" s="141">
        <f t="shared" si="0"/>
        <v>-1.2000000000000014E-3</v>
      </c>
    </row>
    <row r="11" spans="1:115" ht="13" customHeight="1" thickBot="1" x14ac:dyDescent="0.4">
      <c r="A11" s="144"/>
      <c r="B11" s="40"/>
      <c r="C11" s="40"/>
      <c r="D11" s="40"/>
      <c r="E11" s="40"/>
      <c r="F11" s="40"/>
      <c r="G11" s="40"/>
      <c r="I11" s="141"/>
      <c r="J11" s="141"/>
      <c r="K11" s="320" t="s">
        <v>66</v>
      </c>
      <c r="L11" s="320"/>
      <c r="M11" s="320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</row>
    <row r="12" spans="1:115" s="127" customFormat="1" ht="15" thickBot="1" x14ac:dyDescent="0.4">
      <c r="A12" s="15" t="s">
        <v>7</v>
      </c>
      <c r="B12" s="316" t="s">
        <v>8</v>
      </c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8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</row>
    <row r="13" spans="1:115" s="134" customFormat="1" ht="15" thickBot="1" x14ac:dyDescent="0.4">
      <c r="A13" s="128"/>
      <c r="B13" s="129">
        <v>2015</v>
      </c>
      <c r="C13" s="129">
        <v>2016</v>
      </c>
      <c r="D13" s="130" t="s">
        <v>44</v>
      </c>
      <c r="E13" s="131" t="s">
        <v>45</v>
      </c>
      <c r="F13" s="130" t="s">
        <v>46</v>
      </c>
      <c r="G13" s="131" t="s">
        <v>9</v>
      </c>
      <c r="H13" s="130" t="s">
        <v>10</v>
      </c>
      <c r="I13" s="131" t="s">
        <v>58</v>
      </c>
      <c r="J13" s="132">
        <v>2023</v>
      </c>
      <c r="K13" s="78">
        <v>2024</v>
      </c>
      <c r="L13" s="133">
        <v>2025</v>
      </c>
      <c r="M13" s="78">
        <v>2026</v>
      </c>
      <c r="N13" s="133">
        <v>2027</v>
      </c>
      <c r="O13" s="78">
        <v>2028</v>
      </c>
      <c r="P13" s="79">
        <v>2029</v>
      </c>
      <c r="Q13" s="79">
        <v>2030</v>
      </c>
      <c r="R13" s="133">
        <v>2031</v>
      </c>
      <c r="S13" s="79">
        <v>2032</v>
      </c>
      <c r="T13" s="133">
        <v>2033</v>
      </c>
      <c r="U13" s="79">
        <v>2034</v>
      </c>
      <c r="V13" s="133">
        <v>2035</v>
      </c>
      <c r="W13" s="79">
        <v>2036</v>
      </c>
      <c r="X13" s="133">
        <v>2037</v>
      </c>
      <c r="Y13" s="79">
        <v>2038</v>
      </c>
      <c r="Z13" s="133">
        <v>2039</v>
      </c>
      <c r="AA13" s="79">
        <v>2040</v>
      </c>
      <c r="AB13" s="133">
        <v>2041</v>
      </c>
      <c r="AC13" s="79">
        <v>2042</v>
      </c>
      <c r="AD13" s="133">
        <v>2043</v>
      </c>
      <c r="AE13" s="79">
        <v>2044</v>
      </c>
      <c r="AF13" s="133">
        <v>2045</v>
      </c>
      <c r="AG13" s="79">
        <v>2046</v>
      </c>
      <c r="AH13" s="133">
        <v>2047</v>
      </c>
      <c r="AI13" s="79">
        <v>2048</v>
      </c>
      <c r="AJ13" s="133">
        <v>2049</v>
      </c>
      <c r="AK13" s="79">
        <v>2050</v>
      </c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239"/>
    </row>
    <row r="14" spans="1:115" ht="14.5" customHeight="1" x14ac:dyDescent="0.35">
      <c r="A14" s="7" t="s">
        <v>11</v>
      </c>
      <c r="B14" s="97">
        <v>2327</v>
      </c>
      <c r="C14" s="97">
        <v>2554</v>
      </c>
      <c r="D14" s="44">
        <v>2713</v>
      </c>
      <c r="E14" s="45">
        <v>2280.5</v>
      </c>
      <c r="F14" s="44">
        <v>2736</v>
      </c>
      <c r="G14" s="45">
        <v>2574</v>
      </c>
      <c r="H14" s="44">
        <v>2739</v>
      </c>
      <c r="I14" s="88">
        <v>2260.8000000000002</v>
      </c>
      <c r="J14" s="44">
        <f>I14+(I14*$J$10)</f>
        <v>2568.0427200000004</v>
      </c>
      <c r="K14" s="48">
        <f>J14+(J14*$K$10)</f>
        <v>2017.4543608320002</v>
      </c>
      <c r="L14" s="44">
        <f>K14</f>
        <v>2017.4543608320002</v>
      </c>
      <c r="M14" s="48">
        <f t="shared" ref="M14:M34" si="1">L14</f>
        <v>2017.4543608320002</v>
      </c>
      <c r="N14" s="44">
        <f>M14*1.1</f>
        <v>2219.1997969152003</v>
      </c>
      <c r="O14" s="48">
        <f>N14+(N14*$O$10)/1.2</f>
        <v>2449.4417758451523</v>
      </c>
      <c r="P14" s="46">
        <f>O14*1.01</f>
        <v>2473.9361936036039</v>
      </c>
      <c r="Q14" s="255">
        <f>P14*1.001</f>
        <v>2476.4101297972074</v>
      </c>
      <c r="R14" s="255">
        <f t="shared" ref="R14:Z14" si="2">Q14*1.001</f>
        <v>2478.8865399270044</v>
      </c>
      <c r="S14" s="255">
        <f t="shared" si="2"/>
        <v>2481.3654264669312</v>
      </c>
      <c r="T14" s="255">
        <f t="shared" si="2"/>
        <v>2483.8467918933979</v>
      </c>
      <c r="U14" s="255">
        <f t="shared" si="2"/>
        <v>2486.330638685291</v>
      </c>
      <c r="V14" s="255">
        <f t="shared" si="2"/>
        <v>2488.8169693239761</v>
      </c>
      <c r="W14" s="255">
        <f t="shared" si="2"/>
        <v>2491.3057862932997</v>
      </c>
      <c r="X14" s="255">
        <f t="shared" si="2"/>
        <v>2493.7970920795929</v>
      </c>
      <c r="Y14" s="255">
        <f t="shared" si="2"/>
        <v>2496.290889171672</v>
      </c>
      <c r="Z14" s="255">
        <f t="shared" si="2"/>
        <v>2498.7871800608432</v>
      </c>
      <c r="AA14" s="255">
        <f>Z14*0.99</f>
        <v>2473.7993082602347</v>
      </c>
      <c r="AB14" s="255">
        <f>AA14*0.99</f>
        <v>2449.0613151776324</v>
      </c>
      <c r="AC14" s="255">
        <f t="shared" ref="AC14:AK14" si="3">AB14*0.99</f>
        <v>2424.570702025856</v>
      </c>
      <c r="AD14" s="255">
        <f t="shared" si="3"/>
        <v>2400.3249950055974</v>
      </c>
      <c r="AE14" s="255">
        <f t="shared" si="3"/>
        <v>2376.3217450555412</v>
      </c>
      <c r="AF14" s="255">
        <f t="shared" si="3"/>
        <v>2352.5585276049856</v>
      </c>
      <c r="AG14" s="255">
        <f t="shared" si="3"/>
        <v>2329.0329423289359</v>
      </c>
      <c r="AH14" s="255">
        <f t="shared" si="3"/>
        <v>2305.7426129056466</v>
      </c>
      <c r="AI14" s="255">
        <f t="shared" si="3"/>
        <v>2282.6851867765899</v>
      </c>
      <c r="AJ14" s="255">
        <f t="shared" si="3"/>
        <v>2259.858334908824</v>
      </c>
      <c r="AK14" s="255">
        <f t="shared" si="3"/>
        <v>2237.2597515597358</v>
      </c>
    </row>
    <row r="15" spans="1:115" x14ac:dyDescent="0.35">
      <c r="A15" s="8" t="s">
        <v>12</v>
      </c>
      <c r="B15" s="98">
        <v>797</v>
      </c>
      <c r="C15" s="98">
        <v>824</v>
      </c>
      <c r="D15" s="47">
        <v>901</v>
      </c>
      <c r="E15" s="48">
        <v>651.5</v>
      </c>
      <c r="F15" s="47">
        <v>745.5</v>
      </c>
      <c r="G15" s="48">
        <v>157</v>
      </c>
      <c r="H15" s="47">
        <v>179</v>
      </c>
      <c r="I15" s="89">
        <v>290.39999999999998</v>
      </c>
      <c r="J15" s="47">
        <f t="shared" ref="J15:J34" si="4">I15+(I15*$J$10)</f>
        <v>329.86536000000001</v>
      </c>
      <c r="K15" s="48">
        <f t="shared" ref="K15:K34" si="5">J15+(J15*$K$10)</f>
        <v>259.142226816</v>
      </c>
      <c r="L15" s="47">
        <f>K15</f>
        <v>259.142226816</v>
      </c>
      <c r="M15" s="48">
        <f t="shared" si="1"/>
        <v>259.142226816</v>
      </c>
      <c r="N15" s="47">
        <f>M15*1.1</f>
        <v>285.05644949760006</v>
      </c>
      <c r="O15" s="47">
        <f>N15*1.3</f>
        <v>370.57338434688006</v>
      </c>
      <c r="P15" s="47">
        <f>O15+(O15*$P$10)*1.3</f>
        <v>401.50143900447068</v>
      </c>
      <c r="Q15" s="48">
        <f t="shared" ref="Q15:Q34" si="6">P15+(P15*$Q$10)</f>
        <v>407.12245915053325</v>
      </c>
      <c r="R15" s="47">
        <f t="shared" ref="R15:R34" si="7">Q15+(Q15*$R$10)</f>
        <v>410.70513679105795</v>
      </c>
      <c r="S15" s="48">
        <f t="shared" ref="S15:S34" si="8">R15+(R15*$S$10)</f>
        <v>414.23720096746104</v>
      </c>
      <c r="T15" s="47">
        <f t="shared" ref="T15:T34" si="9">S15+(S15*$T$10)</f>
        <v>417.71679345558772</v>
      </c>
      <c r="U15" s="48">
        <f t="shared" ref="U15:U34" si="10">T15+(T15*$U$10)</f>
        <v>421.14207116192352</v>
      </c>
      <c r="V15" s="47">
        <f t="shared" ref="V15:V34" si="11">U15+(U15*$V$10)</f>
        <v>424.5533219383351</v>
      </c>
      <c r="W15" s="48">
        <f t="shared" ref="W15:W34" si="12">V15+(V15*$W$10)</f>
        <v>425.8269819041501</v>
      </c>
      <c r="X15" s="47">
        <f t="shared" ref="X15:X34" si="13">W15+(W15*$X$10)</f>
        <v>427.06188015167214</v>
      </c>
      <c r="Y15" s="48">
        <f t="shared" ref="Y15:Y34" si="14">X15+(X15*$Y$10)</f>
        <v>428.30035960411197</v>
      </c>
      <c r="Z15" s="47">
        <f t="shared" ref="Z15:Z34" si="15">Y15+(Y15*$Z$10)</f>
        <v>429.49960061100347</v>
      </c>
      <c r="AA15" s="48">
        <f t="shared" ref="AA15:AA34" si="16">Z15+(Z15*$AA$10)</f>
        <v>429.62845049118675</v>
      </c>
      <c r="AB15" s="47">
        <f t="shared" ref="AB15:AB34" si="17">AA15+(AA15*$AB$10)</f>
        <v>429.75733902633414</v>
      </c>
      <c r="AC15" s="48">
        <f t="shared" ref="AC15:AC35" si="18">AB15+(AB15*$AC$10)</f>
        <v>429.84329049413941</v>
      </c>
      <c r="AD15" s="47">
        <f t="shared" ref="AD15:AD34" si="19">AC15+(AC15*$AD$10)</f>
        <v>429.92925915223822</v>
      </c>
      <c r="AE15" s="48">
        <f t="shared" ref="AE15:AE34" si="20">AD15+(AD15*$AE$10)</f>
        <v>430.01524500406867</v>
      </c>
      <c r="AF15" s="47">
        <f t="shared" ref="AF15:AF34" si="21">AE15+(AE15*$AF$10)</f>
        <v>429.45622518556337</v>
      </c>
      <c r="AG15" s="48">
        <f t="shared" ref="AG15:AG34" si="22">AF15+(AF15*$AG$10)</f>
        <v>428.89793209282215</v>
      </c>
      <c r="AH15" s="47">
        <f t="shared" ref="AH15:AH34" si="23">AG15+(AG15*$AH$10)</f>
        <v>428.34036478110147</v>
      </c>
      <c r="AI15" s="48">
        <f t="shared" ref="AI15:AI34" si="24">AH15+(AH15*$AI$10)</f>
        <v>427.78352230688603</v>
      </c>
      <c r="AJ15" s="47">
        <f t="shared" ref="AJ15:AJ34" si="25">AI15+(AI15*$AJ$10)</f>
        <v>427.22740372788707</v>
      </c>
      <c r="AK15" s="47">
        <f t="shared" ref="AK15:AK34" si="26">AJ15+(AJ15*$AK$10)</f>
        <v>426.71473084341358</v>
      </c>
    </row>
    <row r="16" spans="1:115" x14ac:dyDescent="0.35">
      <c r="A16" s="8" t="s">
        <v>13</v>
      </c>
      <c r="B16" s="98">
        <v>281</v>
      </c>
      <c r="C16" s="98">
        <v>274</v>
      </c>
      <c r="D16" s="47">
        <v>631.5</v>
      </c>
      <c r="E16" s="48">
        <v>682.5</v>
      </c>
      <c r="F16" s="47">
        <v>602</v>
      </c>
      <c r="G16" s="48">
        <v>124</v>
      </c>
      <c r="H16" s="47">
        <v>166</v>
      </c>
      <c r="I16" s="89">
        <v>219.60000000000002</v>
      </c>
      <c r="J16" s="47">
        <f t="shared" si="4"/>
        <v>249.44364000000002</v>
      </c>
      <c r="K16" s="48">
        <f t="shared" si="5"/>
        <v>195.96292358400001</v>
      </c>
      <c r="L16" s="47">
        <f t="shared" ref="L16:L34" si="27">K16</f>
        <v>195.96292358400001</v>
      </c>
      <c r="M16" s="48">
        <f t="shared" si="1"/>
        <v>195.96292358400001</v>
      </c>
      <c r="N16" s="47">
        <f t="shared" ref="N16:N30" si="28">M16+(M16*$N$10)</f>
        <v>243.93464727736321</v>
      </c>
      <c r="O16" s="48">
        <f t="shared" ref="O16:O21" si="29">N16+(N16*$O$10)</f>
        <v>274.30451086339491</v>
      </c>
      <c r="P16" s="47">
        <f>O16+(O16*$P$10)*1.3</f>
        <v>297.19796534005383</v>
      </c>
      <c r="Q16" s="48">
        <f t="shared" si="6"/>
        <v>301.35873685481459</v>
      </c>
      <c r="R16" s="47">
        <f t="shared" si="7"/>
        <v>304.01069373913697</v>
      </c>
      <c r="S16" s="48">
        <f t="shared" si="8"/>
        <v>306.62518570529357</v>
      </c>
      <c r="T16" s="47">
        <f t="shared" si="9"/>
        <v>309.20083726521801</v>
      </c>
      <c r="U16" s="48">
        <f t="shared" si="10"/>
        <v>311.7362841307928</v>
      </c>
      <c r="V16" s="47">
        <f t="shared" si="11"/>
        <v>314.26134803225222</v>
      </c>
      <c r="W16" s="48">
        <f t="shared" si="12"/>
        <v>315.20413207634897</v>
      </c>
      <c r="X16" s="47">
        <f t="shared" si="13"/>
        <v>316.11822405937039</v>
      </c>
      <c r="Y16" s="48">
        <f t="shared" si="14"/>
        <v>317.03496690914255</v>
      </c>
      <c r="Z16" s="47">
        <f t="shared" si="15"/>
        <v>317.92266481648818</v>
      </c>
      <c r="AA16" s="48">
        <f t="shared" si="16"/>
        <v>318.0180416159331</v>
      </c>
      <c r="AB16" s="47">
        <f t="shared" si="17"/>
        <v>318.11344702841785</v>
      </c>
      <c r="AC16" s="48">
        <f t="shared" si="18"/>
        <v>318.17706971782354</v>
      </c>
      <c r="AD16" s="47">
        <f t="shared" si="19"/>
        <v>318.24070513176713</v>
      </c>
      <c r="AE16" s="48">
        <f t="shared" si="20"/>
        <v>318.30435327279349</v>
      </c>
      <c r="AF16" s="47">
        <f t="shared" si="21"/>
        <v>317.89055761353887</v>
      </c>
      <c r="AG16" s="48">
        <f t="shared" si="22"/>
        <v>317.47729988864126</v>
      </c>
      <c r="AH16" s="47">
        <f t="shared" si="23"/>
        <v>317.06457939878601</v>
      </c>
      <c r="AI16" s="48">
        <f t="shared" si="24"/>
        <v>316.65239544556761</v>
      </c>
      <c r="AJ16" s="47">
        <f t="shared" si="25"/>
        <v>316.24074733148836</v>
      </c>
      <c r="AK16" s="47">
        <f t="shared" si="26"/>
        <v>315.86125843469057</v>
      </c>
    </row>
    <row r="17" spans="1:37" x14ac:dyDescent="0.35">
      <c r="A17" s="10" t="s">
        <v>14</v>
      </c>
      <c r="B17" s="99">
        <v>2343</v>
      </c>
      <c r="C17" s="99">
        <v>2333</v>
      </c>
      <c r="D17" s="50">
        <v>2444.5</v>
      </c>
      <c r="E17" s="51">
        <v>2248</v>
      </c>
      <c r="F17" s="50">
        <v>1936</v>
      </c>
      <c r="G17" s="51">
        <v>1344</v>
      </c>
      <c r="H17" s="50">
        <v>1137</v>
      </c>
      <c r="I17" s="90">
        <v>1323.6</v>
      </c>
      <c r="J17" s="50">
        <f t="shared" si="4"/>
        <v>1503.4772399999999</v>
      </c>
      <c r="K17" s="51">
        <f t="shared" si="5"/>
        <v>1181.1317197439998</v>
      </c>
      <c r="L17" s="50">
        <f t="shared" si="27"/>
        <v>1181.1317197439998</v>
      </c>
      <c r="M17" s="51">
        <f t="shared" si="1"/>
        <v>1181.1317197439998</v>
      </c>
      <c r="N17" s="50">
        <f>M17*1.1</f>
        <v>1299.2448917183999</v>
      </c>
      <c r="O17" s="51">
        <f>N17+(N17*$O$10)*1.3</f>
        <v>1509.5276774430229</v>
      </c>
      <c r="P17" s="50">
        <f>O17+(O17*$P$10)*1.3</f>
        <v>1635.5128574024175</v>
      </c>
      <c r="Q17" s="51">
        <f t="shared" si="6"/>
        <v>1658.4100374060513</v>
      </c>
      <c r="R17" s="50">
        <f t="shared" si="7"/>
        <v>1673.0040457352245</v>
      </c>
      <c r="S17" s="51">
        <f t="shared" si="8"/>
        <v>1687.3918805285475</v>
      </c>
      <c r="T17" s="50">
        <f t="shared" si="9"/>
        <v>1701.5659723249873</v>
      </c>
      <c r="U17" s="51">
        <f t="shared" si="10"/>
        <v>1715.5188132980522</v>
      </c>
      <c r="V17" s="50">
        <f t="shared" si="11"/>
        <v>1729.4145156857664</v>
      </c>
      <c r="W17" s="51">
        <f t="shared" si="12"/>
        <v>1734.6027592328237</v>
      </c>
      <c r="X17" s="50">
        <f t="shared" si="13"/>
        <v>1739.6331072345988</v>
      </c>
      <c r="Y17" s="51">
        <f t="shared" si="14"/>
        <v>1744.6780432455791</v>
      </c>
      <c r="Z17" s="50">
        <f t="shared" si="15"/>
        <v>1749.5631417666668</v>
      </c>
      <c r="AA17" s="51">
        <f t="shared" si="16"/>
        <v>1750.0880107091969</v>
      </c>
      <c r="AB17" s="50">
        <f t="shared" si="17"/>
        <v>1750.6130371124095</v>
      </c>
      <c r="AC17" s="51">
        <f t="shared" si="18"/>
        <v>1750.963159719832</v>
      </c>
      <c r="AD17" s="50">
        <f t="shared" si="19"/>
        <v>1751.3133523517758</v>
      </c>
      <c r="AE17" s="51">
        <f t="shared" si="20"/>
        <v>1751.6636150222462</v>
      </c>
      <c r="AF17" s="50">
        <f t="shared" si="21"/>
        <v>1749.3864523227173</v>
      </c>
      <c r="AG17" s="51">
        <f t="shared" si="22"/>
        <v>1747.1122499346977</v>
      </c>
      <c r="AH17" s="50">
        <f t="shared" si="23"/>
        <v>1744.8410040097826</v>
      </c>
      <c r="AI17" s="51">
        <f t="shared" si="24"/>
        <v>1742.57271070457</v>
      </c>
      <c r="AJ17" s="50">
        <f t="shared" si="25"/>
        <v>1740.3073661806541</v>
      </c>
      <c r="AK17" s="50">
        <f t="shared" si="26"/>
        <v>1738.2189973412374</v>
      </c>
    </row>
    <row r="18" spans="1:37" x14ac:dyDescent="0.35">
      <c r="A18" s="11" t="s">
        <v>15</v>
      </c>
      <c r="B18" s="100">
        <v>86</v>
      </c>
      <c r="C18" s="100">
        <v>77</v>
      </c>
      <c r="D18" s="53">
        <v>431.5</v>
      </c>
      <c r="E18" s="54">
        <v>444</v>
      </c>
      <c r="F18" s="53">
        <v>512</v>
      </c>
      <c r="G18" s="54">
        <v>54</v>
      </c>
      <c r="H18" s="53">
        <v>53</v>
      </c>
      <c r="I18" s="91">
        <v>49.199999999999996</v>
      </c>
      <c r="J18" s="53">
        <f t="shared" si="4"/>
        <v>55.886279999999999</v>
      </c>
      <c r="K18" s="54">
        <f t="shared" si="5"/>
        <v>43.904261567999995</v>
      </c>
      <c r="L18" s="53">
        <f t="shared" si="27"/>
        <v>43.904261567999995</v>
      </c>
      <c r="M18" s="54">
        <f t="shared" si="1"/>
        <v>43.904261567999995</v>
      </c>
      <c r="N18" s="53">
        <f>M18*2</f>
        <v>87.808523135999991</v>
      </c>
      <c r="O18" s="54">
        <f>N18*1.1</f>
        <v>96.589375449599999</v>
      </c>
      <c r="P18" s="54">
        <f>O18*1.05</f>
        <v>101.41884422208</v>
      </c>
      <c r="Q18" s="54">
        <f>P18*1.08</f>
        <v>109.53235175984641</v>
      </c>
      <c r="R18" s="54">
        <f>Q18*1.06</f>
        <v>116.1042928654372</v>
      </c>
      <c r="S18" s="54">
        <f t="shared" ref="S18:AK18" si="30">R18*1.06</f>
        <v>123.07055043736344</v>
      </c>
      <c r="T18" s="54">
        <f t="shared" si="30"/>
        <v>130.45478346360525</v>
      </c>
      <c r="U18" s="54">
        <f t="shared" si="30"/>
        <v>138.28207047142158</v>
      </c>
      <c r="V18" s="54">
        <f t="shared" si="30"/>
        <v>146.57899469970687</v>
      </c>
      <c r="W18" s="54">
        <f t="shared" si="30"/>
        <v>155.37373438168927</v>
      </c>
      <c r="X18" s="54">
        <f t="shared" si="30"/>
        <v>164.69615844459065</v>
      </c>
      <c r="Y18" s="54">
        <f t="shared" si="30"/>
        <v>174.5779279512661</v>
      </c>
      <c r="Z18" s="54">
        <f t="shared" si="30"/>
        <v>185.05260362834207</v>
      </c>
      <c r="AA18" s="54">
        <f t="shared" si="30"/>
        <v>196.1557598460426</v>
      </c>
      <c r="AB18" s="54">
        <f t="shared" si="30"/>
        <v>207.92510543680515</v>
      </c>
      <c r="AC18" s="54">
        <f t="shared" si="30"/>
        <v>220.40061176301347</v>
      </c>
      <c r="AD18" s="54">
        <f t="shared" si="30"/>
        <v>233.62464846879431</v>
      </c>
      <c r="AE18" s="54">
        <f t="shared" si="30"/>
        <v>247.64212737692196</v>
      </c>
      <c r="AF18" s="54">
        <f t="shared" si="30"/>
        <v>262.50065501953731</v>
      </c>
      <c r="AG18" s="54">
        <f t="shared" si="30"/>
        <v>278.25069432070956</v>
      </c>
      <c r="AH18" s="54">
        <f t="shared" si="30"/>
        <v>294.94573597995213</v>
      </c>
      <c r="AI18" s="54">
        <f t="shared" si="30"/>
        <v>312.64248013874925</v>
      </c>
      <c r="AJ18" s="54">
        <f t="shared" si="30"/>
        <v>331.40102894707422</v>
      </c>
      <c r="AK18" s="54">
        <f t="shared" si="30"/>
        <v>351.28509068389872</v>
      </c>
    </row>
    <row r="19" spans="1:37" x14ac:dyDescent="0.35">
      <c r="A19" s="10" t="s">
        <v>16</v>
      </c>
      <c r="B19" s="99">
        <v>2275</v>
      </c>
      <c r="C19" s="99">
        <v>2249</v>
      </c>
      <c r="D19" s="50">
        <v>2442.5</v>
      </c>
      <c r="E19" s="51">
        <v>2397</v>
      </c>
      <c r="F19" s="50">
        <v>2644</v>
      </c>
      <c r="G19" s="51">
        <v>1403</v>
      </c>
      <c r="H19" s="50">
        <v>1475</v>
      </c>
      <c r="I19" s="89">
        <v>1838.3999999999999</v>
      </c>
      <c r="J19" s="47">
        <f t="shared" si="4"/>
        <v>2088.2385599999998</v>
      </c>
      <c r="K19" s="48">
        <f t="shared" si="5"/>
        <v>1640.5202127359998</v>
      </c>
      <c r="L19" s="47">
        <f t="shared" si="27"/>
        <v>1640.5202127359998</v>
      </c>
      <c r="M19" s="48">
        <f t="shared" si="1"/>
        <v>1640.5202127359998</v>
      </c>
      <c r="N19" s="47">
        <f>M19*0.7</f>
        <v>1148.3641489151998</v>
      </c>
      <c r="O19" s="48">
        <f>N19+(N19*$O$10)*0.5</f>
        <v>1219.8498171851711</v>
      </c>
      <c r="P19" s="47">
        <f>O19+(O19*$P$10)*0.5</f>
        <v>1259.006996316815</v>
      </c>
      <c r="Q19" s="48">
        <f t="shared" ref="Q19:Z19" si="31">P19+(P19*$Q$10)*0.5</f>
        <v>1267.8200452910328</v>
      </c>
      <c r="R19" s="267">
        <f t="shared" si="31"/>
        <v>1276.6947856080701</v>
      </c>
      <c r="S19" s="267">
        <f t="shared" si="31"/>
        <v>1285.6316491073267</v>
      </c>
      <c r="T19" s="267">
        <f t="shared" si="31"/>
        <v>1294.6310706510781</v>
      </c>
      <c r="U19" s="267">
        <f t="shared" si="31"/>
        <v>1303.6934881456357</v>
      </c>
      <c r="V19" s="267">
        <f t="shared" si="31"/>
        <v>1312.819342562655</v>
      </c>
      <c r="W19" s="267">
        <f t="shared" si="31"/>
        <v>1322.0090779605937</v>
      </c>
      <c r="X19" s="267">
        <f t="shared" si="31"/>
        <v>1331.2631415063179</v>
      </c>
      <c r="Y19" s="267">
        <f t="shared" si="31"/>
        <v>1340.581983496862</v>
      </c>
      <c r="Z19" s="267">
        <f t="shared" si="31"/>
        <v>1349.9660573813401</v>
      </c>
      <c r="AA19" s="267">
        <f t="shared" ref="AA19:AH19" si="32">Z19*0.98</f>
        <v>1322.9667362337132</v>
      </c>
      <c r="AB19" s="267">
        <f t="shared" si="32"/>
        <v>1296.5074015090388</v>
      </c>
      <c r="AC19" s="267">
        <f t="shared" si="32"/>
        <v>1270.577253478858</v>
      </c>
      <c r="AD19" s="267">
        <f t="shared" si="32"/>
        <v>1245.1657084092808</v>
      </c>
      <c r="AE19" s="267">
        <f t="shared" si="32"/>
        <v>1220.2623942410951</v>
      </c>
      <c r="AF19" s="267">
        <f t="shared" si="32"/>
        <v>1195.8571463562732</v>
      </c>
      <c r="AG19" s="267">
        <f t="shared" si="32"/>
        <v>1171.9400034291477</v>
      </c>
      <c r="AH19" s="267">
        <f t="shared" si="32"/>
        <v>1148.5012033605647</v>
      </c>
      <c r="AI19" s="48">
        <f t="shared" si="24"/>
        <v>1147.008151796196</v>
      </c>
      <c r="AJ19" s="47">
        <f t="shared" si="25"/>
        <v>1145.5170411988609</v>
      </c>
      <c r="AK19" s="47">
        <f t="shared" si="26"/>
        <v>1144.1424207494222</v>
      </c>
    </row>
    <row r="20" spans="1:37" x14ac:dyDescent="0.35">
      <c r="A20" s="13" t="s">
        <v>17</v>
      </c>
      <c r="B20" s="101">
        <v>231</v>
      </c>
      <c r="C20" s="101">
        <v>180</v>
      </c>
      <c r="D20" s="47">
        <v>259</v>
      </c>
      <c r="E20" s="48">
        <v>246</v>
      </c>
      <c r="F20" s="47">
        <v>238.5</v>
      </c>
      <c r="G20" s="48">
        <v>227</v>
      </c>
      <c r="H20" s="47">
        <v>218</v>
      </c>
      <c r="I20" s="89">
        <v>229.20000000000002</v>
      </c>
      <c r="J20" s="47">
        <f t="shared" si="4"/>
        <v>260.34828000000005</v>
      </c>
      <c r="K20" s="48">
        <f t="shared" si="5"/>
        <v>204.52960876800003</v>
      </c>
      <c r="L20" s="47">
        <f t="shared" si="27"/>
        <v>204.52960876800003</v>
      </c>
      <c r="M20" s="48">
        <f t="shared" si="1"/>
        <v>204.52960876800003</v>
      </c>
      <c r="N20" s="47">
        <f>M20*1.025</f>
        <v>209.64284898720001</v>
      </c>
      <c r="O20" s="260">
        <f t="shared" ref="O20:AK20" si="33">N20*1.025</f>
        <v>214.88392021188</v>
      </c>
      <c r="P20" s="260">
        <f t="shared" si="33"/>
        <v>220.25601821717697</v>
      </c>
      <c r="Q20" s="260">
        <f t="shared" si="33"/>
        <v>225.76241867260637</v>
      </c>
      <c r="R20" s="260">
        <f t="shared" si="33"/>
        <v>231.40647913942152</v>
      </c>
      <c r="S20" s="260">
        <f t="shared" si="33"/>
        <v>237.19164111790704</v>
      </c>
      <c r="T20" s="260">
        <f t="shared" si="33"/>
        <v>243.1214321458547</v>
      </c>
      <c r="U20" s="260">
        <f t="shared" si="33"/>
        <v>249.19946794950104</v>
      </c>
      <c r="V20" s="260">
        <f t="shared" si="33"/>
        <v>255.42945464823853</v>
      </c>
      <c r="W20" s="260">
        <f t="shared" si="33"/>
        <v>261.81519101444445</v>
      </c>
      <c r="X20" s="260">
        <f t="shared" si="33"/>
        <v>268.36057078980554</v>
      </c>
      <c r="Y20" s="260">
        <f t="shared" si="33"/>
        <v>275.06958505955066</v>
      </c>
      <c r="Z20" s="260">
        <f t="shared" si="33"/>
        <v>281.94632468603942</v>
      </c>
      <c r="AA20" s="260">
        <f t="shared" si="33"/>
        <v>288.9949828031904</v>
      </c>
      <c r="AB20" s="260">
        <f t="shared" si="33"/>
        <v>296.21985737327014</v>
      </c>
      <c r="AC20" s="260">
        <f t="shared" si="33"/>
        <v>303.62535380760187</v>
      </c>
      <c r="AD20" s="260">
        <f t="shared" si="33"/>
        <v>311.21598765279191</v>
      </c>
      <c r="AE20" s="260">
        <f t="shared" si="33"/>
        <v>318.99638734411167</v>
      </c>
      <c r="AF20" s="260">
        <f t="shared" si="33"/>
        <v>326.97129702771446</v>
      </c>
      <c r="AG20" s="260">
        <f t="shared" si="33"/>
        <v>335.14557945340727</v>
      </c>
      <c r="AH20" s="260">
        <f t="shared" si="33"/>
        <v>343.52421893974241</v>
      </c>
      <c r="AI20" s="260">
        <f t="shared" si="33"/>
        <v>352.11232441323597</v>
      </c>
      <c r="AJ20" s="260">
        <f t="shared" si="33"/>
        <v>360.91513252356685</v>
      </c>
      <c r="AK20" s="260">
        <f t="shared" si="33"/>
        <v>369.93801083665602</v>
      </c>
    </row>
    <row r="21" spans="1:37" x14ac:dyDescent="0.35">
      <c r="A21" s="13" t="s">
        <v>18</v>
      </c>
      <c r="B21" s="101">
        <v>1054</v>
      </c>
      <c r="C21" s="101">
        <v>1118</v>
      </c>
      <c r="D21" s="47">
        <v>246.5</v>
      </c>
      <c r="E21" s="48">
        <v>231.5</v>
      </c>
      <c r="F21" s="47">
        <v>275.5</v>
      </c>
      <c r="G21" s="48">
        <v>158</v>
      </c>
      <c r="H21" s="47">
        <v>160</v>
      </c>
      <c r="I21" s="89">
        <v>232.79999999999998</v>
      </c>
      <c r="J21" s="47">
        <f t="shared" si="4"/>
        <v>264.43752000000001</v>
      </c>
      <c r="K21" s="48">
        <f t="shared" si="5"/>
        <v>207.74211571199999</v>
      </c>
      <c r="L21" s="47">
        <f t="shared" si="27"/>
        <v>207.74211571199999</v>
      </c>
      <c r="M21" s="48">
        <f t="shared" si="1"/>
        <v>207.74211571199999</v>
      </c>
      <c r="N21" s="47">
        <f t="shared" si="28"/>
        <v>258.59738563829757</v>
      </c>
      <c r="O21" s="48">
        <f t="shared" si="29"/>
        <v>290.79276015026562</v>
      </c>
      <c r="P21" s="47">
        <f>O21+(O21*$P$10)*1.3</f>
        <v>315.06232391240678</v>
      </c>
      <c r="Q21" s="48">
        <f t="shared" si="6"/>
        <v>319.4731964471805</v>
      </c>
      <c r="R21" s="47">
        <f t="shared" si="7"/>
        <v>322.28456057591569</v>
      </c>
      <c r="S21" s="48">
        <f t="shared" si="8"/>
        <v>325.05620779686859</v>
      </c>
      <c r="T21" s="47">
        <f t="shared" si="9"/>
        <v>327.7866799423623</v>
      </c>
      <c r="U21" s="48">
        <f t="shared" si="10"/>
        <v>330.47453071788965</v>
      </c>
      <c r="V21" s="47">
        <f t="shared" si="11"/>
        <v>333.15137441670458</v>
      </c>
      <c r="W21" s="48">
        <f t="shared" si="12"/>
        <v>334.15082853995472</v>
      </c>
      <c r="X21" s="47">
        <f t="shared" si="13"/>
        <v>335.11986594272059</v>
      </c>
      <c r="Y21" s="48">
        <f t="shared" si="14"/>
        <v>336.09171355395449</v>
      </c>
      <c r="Z21" s="47">
        <f t="shared" si="15"/>
        <v>337.03277035190558</v>
      </c>
      <c r="AA21" s="48">
        <f t="shared" si="16"/>
        <v>337.13388018301117</v>
      </c>
      <c r="AB21" s="47">
        <f t="shared" si="17"/>
        <v>337.2350203470661</v>
      </c>
      <c r="AC21" s="48">
        <f t="shared" si="18"/>
        <v>337.30246735113553</v>
      </c>
      <c r="AD21" s="47">
        <f t="shared" si="19"/>
        <v>337.36992784460574</v>
      </c>
      <c r="AE21" s="48">
        <f t="shared" si="20"/>
        <v>337.43740183017468</v>
      </c>
      <c r="AF21" s="47">
        <f t="shared" si="21"/>
        <v>336.99873320779545</v>
      </c>
      <c r="AG21" s="48">
        <f t="shared" si="22"/>
        <v>336.56063485462533</v>
      </c>
      <c r="AH21" s="47">
        <f t="shared" si="23"/>
        <v>336.12310602931433</v>
      </c>
      <c r="AI21" s="48">
        <f t="shared" si="24"/>
        <v>335.68614599147622</v>
      </c>
      <c r="AJ21" s="47">
        <f t="shared" si="25"/>
        <v>335.24975400168728</v>
      </c>
      <c r="AK21" s="47">
        <f t="shared" si="26"/>
        <v>334.84745429688525</v>
      </c>
    </row>
    <row r="22" spans="1:37" x14ac:dyDescent="0.35">
      <c r="A22" s="13" t="s">
        <v>19</v>
      </c>
      <c r="B22" s="101">
        <v>295</v>
      </c>
      <c r="C22" s="101">
        <v>311</v>
      </c>
      <c r="D22" s="47">
        <v>1105.5</v>
      </c>
      <c r="E22" s="48">
        <v>1096.5</v>
      </c>
      <c r="F22" s="47">
        <v>1102.5</v>
      </c>
      <c r="G22" s="48">
        <v>1021</v>
      </c>
      <c r="H22" s="47">
        <v>1051</v>
      </c>
      <c r="I22" s="89">
        <v>1006.8000000000001</v>
      </c>
      <c r="J22" s="47">
        <f t="shared" si="4"/>
        <v>1143.6241200000002</v>
      </c>
      <c r="K22" s="48">
        <f t="shared" si="5"/>
        <v>898.43110867200016</v>
      </c>
      <c r="L22" s="47">
        <f t="shared" si="27"/>
        <v>898.43110867200016</v>
      </c>
      <c r="M22" s="48">
        <f t="shared" si="1"/>
        <v>898.43110867200016</v>
      </c>
      <c r="N22" s="47">
        <f>M22*1.004</f>
        <v>902.02483310668822</v>
      </c>
      <c r="O22" s="260">
        <f t="shared" ref="O22:AK22" si="34">N22*1.004</f>
        <v>905.63293243911494</v>
      </c>
      <c r="P22" s="260">
        <f t="shared" si="34"/>
        <v>909.25546416887141</v>
      </c>
      <c r="Q22" s="260">
        <f t="shared" si="34"/>
        <v>912.89248602554687</v>
      </c>
      <c r="R22" s="260">
        <f t="shared" si="34"/>
        <v>916.54405596964909</v>
      </c>
      <c r="S22" s="260">
        <f t="shared" si="34"/>
        <v>920.21023219352764</v>
      </c>
      <c r="T22" s="260">
        <f t="shared" si="34"/>
        <v>923.8910731223018</v>
      </c>
      <c r="U22" s="260">
        <f t="shared" si="34"/>
        <v>927.58663741479097</v>
      </c>
      <c r="V22" s="260">
        <f t="shared" si="34"/>
        <v>931.29698396445019</v>
      </c>
      <c r="W22" s="260">
        <f t="shared" si="34"/>
        <v>935.02217190030797</v>
      </c>
      <c r="X22" s="260">
        <f t="shared" si="34"/>
        <v>938.76226058790917</v>
      </c>
      <c r="Y22" s="260">
        <f t="shared" si="34"/>
        <v>942.5173096302608</v>
      </c>
      <c r="Z22" s="260">
        <f t="shared" si="34"/>
        <v>946.28737886878184</v>
      </c>
      <c r="AA22" s="260">
        <f t="shared" si="34"/>
        <v>950.072528384257</v>
      </c>
      <c r="AB22" s="260">
        <f t="shared" si="34"/>
        <v>953.87281849779401</v>
      </c>
      <c r="AC22" s="260">
        <f t="shared" si="34"/>
        <v>957.68830977178516</v>
      </c>
      <c r="AD22" s="260">
        <f t="shared" si="34"/>
        <v>961.51906301087229</v>
      </c>
      <c r="AE22" s="260">
        <f t="shared" si="34"/>
        <v>965.36513926291582</v>
      </c>
      <c r="AF22" s="260">
        <f t="shared" si="34"/>
        <v>969.22659981996753</v>
      </c>
      <c r="AG22" s="260">
        <f t="shared" si="34"/>
        <v>973.10350621924738</v>
      </c>
      <c r="AH22" s="260">
        <f t="shared" si="34"/>
        <v>976.99592024412436</v>
      </c>
      <c r="AI22" s="260">
        <f t="shared" si="34"/>
        <v>980.90390392510085</v>
      </c>
      <c r="AJ22" s="260">
        <f t="shared" si="34"/>
        <v>984.82751954080129</v>
      </c>
      <c r="AK22" s="260">
        <f t="shared" si="34"/>
        <v>988.76682961896449</v>
      </c>
    </row>
    <row r="23" spans="1:37" x14ac:dyDescent="0.35">
      <c r="A23" s="10" t="s">
        <v>20</v>
      </c>
      <c r="B23" s="99">
        <v>1909</v>
      </c>
      <c r="C23" s="99">
        <v>2066</v>
      </c>
      <c r="D23" s="50">
        <v>2194.5</v>
      </c>
      <c r="E23" s="51">
        <v>2080.5</v>
      </c>
      <c r="F23" s="50">
        <v>1960</v>
      </c>
      <c r="G23" s="51">
        <v>1744</v>
      </c>
      <c r="H23" s="50">
        <v>1749</v>
      </c>
      <c r="I23" s="92">
        <v>1795.1999999999998</v>
      </c>
      <c r="J23" s="56">
        <f t="shared" si="4"/>
        <v>2039.1676799999998</v>
      </c>
      <c r="K23" s="57">
        <f t="shared" si="5"/>
        <v>1601.9701294079998</v>
      </c>
      <c r="L23" s="56">
        <f t="shared" si="27"/>
        <v>1601.9701294079998</v>
      </c>
      <c r="M23" s="57">
        <f t="shared" si="1"/>
        <v>1601.9701294079998</v>
      </c>
      <c r="N23" s="56">
        <f>M23*1.01</f>
        <v>1617.9898307020799</v>
      </c>
      <c r="O23" s="57">
        <f>N23+(N23*$O$10)*1.3</f>
        <v>1879.8614848012116</v>
      </c>
      <c r="P23" s="56">
        <f>O23+(O23*$P$10)*1.3</f>
        <v>2036.7547243227209</v>
      </c>
      <c r="Q23" s="57">
        <f t="shared" si="6"/>
        <v>2065.269290463239</v>
      </c>
      <c r="R23" s="56">
        <f t="shared" si="7"/>
        <v>2083.4436602193155</v>
      </c>
      <c r="S23" s="57">
        <f t="shared" si="8"/>
        <v>2101.3612756972016</v>
      </c>
      <c r="T23" s="56">
        <f t="shared" si="9"/>
        <v>2119.0127104130579</v>
      </c>
      <c r="U23" s="57">
        <f t="shared" si="10"/>
        <v>2136.3886146384448</v>
      </c>
      <c r="V23" s="56">
        <f t="shared" si="11"/>
        <v>2153.693362417016</v>
      </c>
      <c r="W23" s="57">
        <f t="shared" si="12"/>
        <v>2160.1544425042671</v>
      </c>
      <c r="X23" s="56">
        <f t="shared" si="13"/>
        <v>2166.4188903875292</v>
      </c>
      <c r="Y23" s="57">
        <f t="shared" si="14"/>
        <v>2172.701505169653</v>
      </c>
      <c r="Z23" s="56">
        <f t="shared" si="15"/>
        <v>2178.7850693841283</v>
      </c>
      <c r="AA23" s="57">
        <f t="shared" si="16"/>
        <v>2179.4387049049437</v>
      </c>
      <c r="AB23" s="56">
        <f t="shared" si="17"/>
        <v>2180.0925365164153</v>
      </c>
      <c r="AC23" s="57">
        <f t="shared" si="18"/>
        <v>2180.5285550237186</v>
      </c>
      <c r="AD23" s="56">
        <f t="shared" si="19"/>
        <v>2180.9646607347231</v>
      </c>
      <c r="AE23" s="57">
        <f t="shared" si="20"/>
        <v>2181.4008536668703</v>
      </c>
      <c r="AF23" s="56">
        <f t="shared" si="21"/>
        <v>2178.5650325571032</v>
      </c>
      <c r="AG23" s="57">
        <f t="shared" si="22"/>
        <v>2175.732898014779</v>
      </c>
      <c r="AH23" s="56">
        <f t="shared" si="23"/>
        <v>2172.9044452473599</v>
      </c>
      <c r="AI23" s="57">
        <f t="shared" si="24"/>
        <v>2170.0796694685382</v>
      </c>
      <c r="AJ23" s="56">
        <f t="shared" si="25"/>
        <v>2167.2585658982293</v>
      </c>
      <c r="AK23" s="56">
        <f t="shared" si="26"/>
        <v>2164.6578556191516</v>
      </c>
    </row>
    <row r="24" spans="1:37" x14ac:dyDescent="0.35">
      <c r="A24" s="10" t="s">
        <v>21</v>
      </c>
      <c r="B24" s="99">
        <v>1912</v>
      </c>
      <c r="C24" s="99">
        <v>1724</v>
      </c>
      <c r="D24" s="50">
        <v>2817</v>
      </c>
      <c r="E24" s="51">
        <v>2798</v>
      </c>
      <c r="F24" s="50">
        <v>2600.5</v>
      </c>
      <c r="G24" s="51">
        <f>1648-394</f>
        <v>1254</v>
      </c>
      <c r="H24" s="50">
        <f>1688-381</f>
        <v>1307</v>
      </c>
      <c r="I24" s="89">
        <v>1396.8000000000002</v>
      </c>
      <c r="J24" s="47">
        <f t="shared" si="4"/>
        <v>1586.6251200000002</v>
      </c>
      <c r="K24" s="48">
        <f t="shared" si="5"/>
        <v>1246.4526942720001</v>
      </c>
      <c r="L24" s="47">
        <f t="shared" si="27"/>
        <v>1246.4526942720001</v>
      </c>
      <c r="M24" s="48">
        <f t="shared" si="1"/>
        <v>1246.4526942720001</v>
      </c>
      <c r="N24" s="47">
        <f>M24+(M24*$N$10)*1.3</f>
        <v>1643.1237996971215</v>
      </c>
      <c r="O24" s="48">
        <f>N24*1.01</f>
        <v>1659.5550376940928</v>
      </c>
      <c r="P24" s="267">
        <f>O24*1.01</f>
        <v>1676.1505880710338</v>
      </c>
      <c r="Q24" s="267">
        <f>P24*1.01</f>
        <v>1692.9120939517441</v>
      </c>
      <c r="R24" s="47">
        <f t="shared" si="7"/>
        <v>1707.8097203785194</v>
      </c>
      <c r="S24" s="48">
        <f t="shared" si="8"/>
        <v>1722.4968839737746</v>
      </c>
      <c r="T24" s="47">
        <f t="shared" si="9"/>
        <v>1736.9658577991543</v>
      </c>
      <c r="U24" s="48">
        <f t="shared" si="10"/>
        <v>1751.2089778331074</v>
      </c>
      <c r="V24" s="47">
        <f t="shared" si="11"/>
        <v>1765.3937705535554</v>
      </c>
      <c r="W24" s="48">
        <f t="shared" si="12"/>
        <v>1770.689951865216</v>
      </c>
      <c r="X24" s="47">
        <f t="shared" si="13"/>
        <v>1775.8249527256251</v>
      </c>
      <c r="Y24" s="48">
        <f t="shared" si="14"/>
        <v>1780.9748450885293</v>
      </c>
      <c r="Z24" s="47">
        <f t="shared" si="15"/>
        <v>1785.9615746547772</v>
      </c>
      <c r="AA24" s="48">
        <f t="shared" si="16"/>
        <v>1786.4973631271737</v>
      </c>
      <c r="AB24" s="47">
        <f t="shared" si="17"/>
        <v>1787.0333123361117</v>
      </c>
      <c r="AC24" s="48">
        <f t="shared" si="18"/>
        <v>1787.3907189985789</v>
      </c>
      <c r="AD24" s="47">
        <f t="shared" si="19"/>
        <v>1787.7481971423786</v>
      </c>
      <c r="AE24" s="48">
        <f t="shared" si="20"/>
        <v>1788.1057467818071</v>
      </c>
      <c r="AF24" s="47">
        <f t="shared" si="21"/>
        <v>1785.7812093109908</v>
      </c>
      <c r="AG24" s="48">
        <f t="shared" si="22"/>
        <v>1783.4596937388865</v>
      </c>
      <c r="AH24" s="47">
        <f t="shared" si="23"/>
        <v>1781.1411961370259</v>
      </c>
      <c r="AI24" s="48">
        <f t="shared" si="24"/>
        <v>1778.8257125820478</v>
      </c>
      <c r="AJ24" s="47">
        <f t="shared" si="25"/>
        <v>1776.5132391556911</v>
      </c>
      <c r="AK24" s="47">
        <f t="shared" si="26"/>
        <v>1774.3814232687041</v>
      </c>
    </row>
    <row r="25" spans="1:37" x14ac:dyDescent="0.35">
      <c r="A25" s="11" t="s">
        <v>22</v>
      </c>
      <c r="B25" s="100">
        <v>96</v>
      </c>
      <c r="C25" s="100">
        <v>75</v>
      </c>
      <c r="D25" s="53">
        <v>399</v>
      </c>
      <c r="E25" s="54">
        <v>327.5</v>
      </c>
      <c r="F25" s="53">
        <v>355</v>
      </c>
      <c r="G25" s="54">
        <v>30</v>
      </c>
      <c r="H25" s="53">
        <v>27</v>
      </c>
      <c r="I25" s="89">
        <v>19.200000000000003</v>
      </c>
      <c r="J25" s="47">
        <f t="shared" si="4"/>
        <v>21.809280000000005</v>
      </c>
      <c r="K25" s="48">
        <f t="shared" si="5"/>
        <v>17.133370368000001</v>
      </c>
      <c r="L25" s="47">
        <f t="shared" si="27"/>
        <v>17.133370368000001</v>
      </c>
      <c r="M25" s="48">
        <f t="shared" si="1"/>
        <v>17.133370368000001</v>
      </c>
      <c r="N25" s="47">
        <f>M25*2</f>
        <v>34.266740736000003</v>
      </c>
      <c r="O25" s="48">
        <f>N25*1.5</f>
        <v>51.400111104000004</v>
      </c>
      <c r="P25" s="47">
        <f>O25*1.1</f>
        <v>56.540122214400007</v>
      </c>
      <c r="Q25" s="260">
        <f>P25*1.05</f>
        <v>59.367128325120014</v>
      </c>
      <c r="R25" s="260">
        <f>Q25*1.08</f>
        <v>64.116498591129613</v>
      </c>
      <c r="S25" s="260">
        <f>R25*1.09</f>
        <v>69.88698346433128</v>
      </c>
      <c r="T25" s="260">
        <f t="shared" ref="T25:X25" si="35">S25*1.09</f>
        <v>76.176811976121101</v>
      </c>
      <c r="U25" s="260">
        <f t="shared" si="35"/>
        <v>83.032725053972001</v>
      </c>
      <c r="V25" s="260">
        <f t="shared" si="35"/>
        <v>90.505670308829494</v>
      </c>
      <c r="W25" s="260">
        <f t="shared" si="35"/>
        <v>98.651180636624161</v>
      </c>
      <c r="X25" s="260">
        <f t="shared" si="35"/>
        <v>107.52978689392035</v>
      </c>
      <c r="Y25" s="260">
        <f t="shared" ref="Y25:AG25" si="36">X25*1.08</f>
        <v>116.13216984543398</v>
      </c>
      <c r="Z25" s="260">
        <f t="shared" si="36"/>
        <v>125.4227434330687</v>
      </c>
      <c r="AA25" s="260">
        <f t="shared" si="36"/>
        <v>135.45656290771421</v>
      </c>
      <c r="AB25" s="260">
        <f t="shared" si="36"/>
        <v>146.29308794033136</v>
      </c>
      <c r="AC25" s="260">
        <f t="shared" si="36"/>
        <v>157.99653497555789</v>
      </c>
      <c r="AD25" s="260">
        <f t="shared" si="36"/>
        <v>170.63625777360252</v>
      </c>
      <c r="AE25" s="260">
        <f t="shared" si="36"/>
        <v>184.28715839549074</v>
      </c>
      <c r="AF25" s="260">
        <f t="shared" si="36"/>
        <v>199.03013106713001</v>
      </c>
      <c r="AG25" s="260">
        <f t="shared" si="36"/>
        <v>214.95254155250043</v>
      </c>
      <c r="AH25" s="260">
        <f t="shared" ref="AH25:AJ25" si="37">AG25*1.08</f>
        <v>232.14874487670048</v>
      </c>
      <c r="AI25" s="260">
        <f t="shared" si="37"/>
        <v>250.72064446683652</v>
      </c>
      <c r="AJ25" s="260">
        <f t="shared" si="37"/>
        <v>270.77829602418348</v>
      </c>
      <c r="AK25" s="260">
        <v>295</v>
      </c>
    </row>
    <row r="26" spans="1:37" x14ac:dyDescent="0.35">
      <c r="A26" s="13" t="s">
        <v>23</v>
      </c>
      <c r="B26" s="101">
        <v>413</v>
      </c>
      <c r="C26" s="101">
        <v>440</v>
      </c>
      <c r="D26" s="47">
        <v>404.5</v>
      </c>
      <c r="E26" s="48">
        <v>393</v>
      </c>
      <c r="F26" s="47">
        <v>368</v>
      </c>
      <c r="G26" s="48">
        <v>211</v>
      </c>
      <c r="H26" s="47">
        <v>263</v>
      </c>
      <c r="I26" s="92">
        <v>120</v>
      </c>
      <c r="J26" s="56">
        <f t="shared" si="4"/>
        <v>136.30799999999999</v>
      </c>
      <c r="K26" s="57">
        <f t="shared" si="5"/>
        <v>107.08356479999999</v>
      </c>
      <c r="L26" s="56">
        <f t="shared" si="27"/>
        <v>107.08356479999999</v>
      </c>
      <c r="M26" s="57">
        <f t="shared" si="1"/>
        <v>107.08356479999999</v>
      </c>
      <c r="N26" s="56">
        <f t="shared" si="28"/>
        <v>133.29762146304</v>
      </c>
      <c r="O26" s="57">
        <f>N26*1.5</f>
        <v>199.94643219456</v>
      </c>
      <c r="P26" s="56">
        <f>O26*1.05</f>
        <v>209.94375380428801</v>
      </c>
      <c r="Q26" s="263">
        <f>P26*1.04</f>
        <v>218.34150395645955</v>
      </c>
      <c r="R26" s="263">
        <f>Q26*1.04</f>
        <v>227.07516411471795</v>
      </c>
      <c r="S26" s="263">
        <f>R26*1.04</f>
        <v>236.15817067930666</v>
      </c>
      <c r="T26" s="263">
        <f>S26*1.04</f>
        <v>245.60449750647894</v>
      </c>
      <c r="U26" s="263">
        <f>T26*1.04</f>
        <v>255.4286774067381</v>
      </c>
      <c r="V26" s="263">
        <f t="shared" ref="V26:AK26" si="38">U26*1.03</f>
        <v>263.09153772894024</v>
      </c>
      <c r="W26" s="263">
        <f t="shared" si="38"/>
        <v>270.98428386080843</v>
      </c>
      <c r="X26" s="263">
        <f t="shared" si="38"/>
        <v>279.11381237663267</v>
      </c>
      <c r="Y26" s="263">
        <f t="shared" si="38"/>
        <v>287.48722674793163</v>
      </c>
      <c r="Z26" s="263">
        <f t="shared" si="38"/>
        <v>296.1118435503696</v>
      </c>
      <c r="AA26" s="263">
        <f t="shared" si="38"/>
        <v>304.99519885688068</v>
      </c>
      <c r="AB26" s="263">
        <f t="shared" si="38"/>
        <v>314.1450548225871</v>
      </c>
      <c r="AC26" s="263">
        <f t="shared" si="38"/>
        <v>323.56940646726474</v>
      </c>
      <c r="AD26" s="263">
        <f t="shared" si="38"/>
        <v>333.27648866128271</v>
      </c>
      <c r="AE26" s="263">
        <f t="shared" si="38"/>
        <v>343.27478332112122</v>
      </c>
      <c r="AF26" s="263">
        <f t="shared" si="38"/>
        <v>353.57302682075488</v>
      </c>
      <c r="AG26" s="263">
        <f t="shared" si="38"/>
        <v>364.18021762537751</v>
      </c>
      <c r="AH26" s="263">
        <f t="shared" si="38"/>
        <v>375.10562415413887</v>
      </c>
      <c r="AI26" s="263">
        <f t="shared" si="38"/>
        <v>386.35879287876304</v>
      </c>
      <c r="AJ26" s="263">
        <f t="shared" si="38"/>
        <v>397.94955666512595</v>
      </c>
      <c r="AK26" s="263">
        <f t="shared" si="38"/>
        <v>409.88804336507974</v>
      </c>
    </row>
    <row r="27" spans="1:37" x14ac:dyDescent="0.35">
      <c r="A27" s="10" t="s">
        <v>24</v>
      </c>
      <c r="B27" s="99">
        <v>1134</v>
      </c>
      <c r="C27" s="99">
        <v>1223</v>
      </c>
      <c r="D27" s="50">
        <v>2754.5</v>
      </c>
      <c r="E27" s="51">
        <v>2588</v>
      </c>
      <c r="F27" s="50">
        <v>2190</v>
      </c>
      <c r="G27" s="51">
        <v>960</v>
      </c>
      <c r="H27" s="50">
        <v>451</v>
      </c>
      <c r="I27" s="89">
        <v>963.59999999999991</v>
      </c>
      <c r="J27" s="47">
        <f t="shared" si="4"/>
        <v>1094.55324</v>
      </c>
      <c r="K27" s="48">
        <f t="shared" si="5"/>
        <v>859.88102534399991</v>
      </c>
      <c r="L27" s="47">
        <f t="shared" si="27"/>
        <v>859.88102534399991</v>
      </c>
      <c r="M27" s="48">
        <f t="shared" si="1"/>
        <v>859.88102534399991</v>
      </c>
      <c r="N27" s="47">
        <f>M27+(M27*$N$10)*1.3</f>
        <v>1133.5295628494744</v>
      </c>
      <c r="O27" s="48">
        <f>N27*1.015</f>
        <v>1150.5325062922163</v>
      </c>
      <c r="P27" s="267">
        <f t="shared" ref="P27:AK27" si="39">O27*1.015</f>
        <v>1167.7904938865995</v>
      </c>
      <c r="Q27" s="267">
        <f t="shared" si="39"/>
        <v>1185.3073512948984</v>
      </c>
      <c r="R27" s="267">
        <f t="shared" si="39"/>
        <v>1203.0869615643217</v>
      </c>
      <c r="S27" s="267">
        <f t="shared" si="39"/>
        <v>1221.1332659877864</v>
      </c>
      <c r="T27" s="267">
        <f t="shared" si="39"/>
        <v>1239.4502649776032</v>
      </c>
      <c r="U27" s="267">
        <f t="shared" si="39"/>
        <v>1258.0420189522672</v>
      </c>
      <c r="V27" s="267">
        <f t="shared" si="39"/>
        <v>1276.912649236551</v>
      </c>
      <c r="W27" s="267">
        <f t="shared" si="39"/>
        <v>1296.0663389750991</v>
      </c>
      <c r="X27" s="267">
        <f t="shared" si="39"/>
        <v>1315.5073340597255</v>
      </c>
      <c r="Y27" s="267">
        <f t="shared" si="39"/>
        <v>1335.2399440706213</v>
      </c>
      <c r="Z27" s="267">
        <f t="shared" si="39"/>
        <v>1355.2685432316805</v>
      </c>
      <c r="AA27" s="267">
        <f t="shared" si="39"/>
        <v>1375.5975713801556</v>
      </c>
      <c r="AB27" s="267">
        <f t="shared" si="39"/>
        <v>1396.2315349508578</v>
      </c>
      <c r="AC27" s="267">
        <f t="shared" si="39"/>
        <v>1417.1750079751205</v>
      </c>
      <c r="AD27" s="267">
        <f t="shared" si="39"/>
        <v>1438.4326330947472</v>
      </c>
      <c r="AE27" s="267">
        <f t="shared" si="39"/>
        <v>1460.0091225911683</v>
      </c>
      <c r="AF27" s="267">
        <f t="shared" si="39"/>
        <v>1481.9092594300357</v>
      </c>
      <c r="AG27" s="267">
        <f t="shared" si="39"/>
        <v>1504.1378983214861</v>
      </c>
      <c r="AH27" s="267">
        <f t="shared" si="39"/>
        <v>1526.6999667963082</v>
      </c>
      <c r="AI27" s="267">
        <f t="shared" si="39"/>
        <v>1549.6004662982527</v>
      </c>
      <c r="AJ27" s="267">
        <f t="shared" si="39"/>
        <v>1572.8444732927264</v>
      </c>
      <c r="AK27" s="267">
        <f t="shared" si="39"/>
        <v>1596.4371403921173</v>
      </c>
    </row>
    <row r="28" spans="1:37" x14ac:dyDescent="0.35">
      <c r="A28" s="10" t="s">
        <v>25</v>
      </c>
      <c r="B28" s="99">
        <v>1881</v>
      </c>
      <c r="C28" s="99">
        <v>1881</v>
      </c>
      <c r="D28" s="50">
        <v>2743.5</v>
      </c>
      <c r="E28" s="51">
        <v>2747.5</v>
      </c>
      <c r="F28" s="50">
        <v>2355</v>
      </c>
      <c r="G28" s="51">
        <v>1603</v>
      </c>
      <c r="H28" s="50">
        <v>1464</v>
      </c>
      <c r="I28" s="90">
        <v>1560</v>
      </c>
      <c r="J28" s="50">
        <f>I28*1.1</f>
        <v>1716.0000000000002</v>
      </c>
      <c r="K28" s="51">
        <f>J28+(J28*$K$10)-10%</f>
        <v>1347.9896000000003</v>
      </c>
      <c r="L28" s="50">
        <f t="shared" si="27"/>
        <v>1347.9896000000003</v>
      </c>
      <c r="M28" s="51">
        <f t="shared" si="1"/>
        <v>1347.9896000000003</v>
      </c>
      <c r="N28" s="50">
        <f>M28*1.005</f>
        <v>1354.7295480000002</v>
      </c>
      <c r="O28" s="261">
        <f>N28*1.004</f>
        <v>1360.1484661920003</v>
      </c>
      <c r="P28" s="261">
        <f t="shared" ref="P28:AK28" si="40">O28*1.004</f>
        <v>1365.5890600567684</v>
      </c>
      <c r="Q28" s="261">
        <f t="shared" si="40"/>
        <v>1371.0514162969955</v>
      </c>
      <c r="R28" s="261">
        <f t="shared" si="40"/>
        <v>1376.5356219621835</v>
      </c>
      <c r="S28" s="261">
        <f t="shared" si="40"/>
        <v>1382.0417644500324</v>
      </c>
      <c r="T28" s="261">
        <f t="shared" si="40"/>
        <v>1387.5699315078325</v>
      </c>
      <c r="U28" s="261">
        <f t="shared" si="40"/>
        <v>1393.1202112338638</v>
      </c>
      <c r="V28" s="261">
        <f t="shared" si="40"/>
        <v>1398.6926920787992</v>
      </c>
      <c r="W28" s="261">
        <f t="shared" si="40"/>
        <v>1404.2874628471143</v>
      </c>
      <c r="X28" s="261">
        <f t="shared" si="40"/>
        <v>1409.9046126985027</v>
      </c>
      <c r="Y28" s="261">
        <f t="shared" si="40"/>
        <v>1415.5442311492966</v>
      </c>
      <c r="Z28" s="261">
        <f t="shared" si="40"/>
        <v>1421.2064080738937</v>
      </c>
      <c r="AA28" s="261">
        <f t="shared" si="40"/>
        <v>1426.8912337061893</v>
      </c>
      <c r="AB28" s="261">
        <f t="shared" si="40"/>
        <v>1432.5987986410141</v>
      </c>
      <c r="AC28" s="261">
        <f t="shared" si="40"/>
        <v>1438.3291938355783</v>
      </c>
      <c r="AD28" s="261">
        <f t="shared" si="40"/>
        <v>1444.0825106109205</v>
      </c>
      <c r="AE28" s="261">
        <f t="shared" si="40"/>
        <v>1449.8588406533643</v>
      </c>
      <c r="AF28" s="261">
        <f t="shared" si="40"/>
        <v>1455.6582760159777</v>
      </c>
      <c r="AG28" s="261">
        <f t="shared" si="40"/>
        <v>1461.4809091200416</v>
      </c>
      <c r="AH28" s="261">
        <f t="shared" si="40"/>
        <v>1467.3268327565218</v>
      </c>
      <c r="AI28" s="261">
        <f t="shared" si="40"/>
        <v>1473.1961400875477</v>
      </c>
      <c r="AJ28" s="261">
        <f t="shared" si="40"/>
        <v>1479.088924647898</v>
      </c>
      <c r="AK28" s="261">
        <f t="shared" si="40"/>
        <v>1485.0052803464896</v>
      </c>
    </row>
    <row r="29" spans="1:37" x14ac:dyDescent="0.35">
      <c r="A29" s="11" t="s">
        <v>26</v>
      </c>
      <c r="B29" s="100">
        <v>79</v>
      </c>
      <c r="C29" s="100">
        <v>83</v>
      </c>
      <c r="D29" s="53">
        <v>379</v>
      </c>
      <c r="E29" s="54">
        <v>379</v>
      </c>
      <c r="F29" s="53">
        <v>335.5</v>
      </c>
      <c r="G29" s="54">
        <v>48</v>
      </c>
      <c r="H29" s="53">
        <v>38</v>
      </c>
      <c r="I29" s="91">
        <v>36</v>
      </c>
      <c r="J29" s="53">
        <f t="shared" si="4"/>
        <v>40.892400000000002</v>
      </c>
      <c r="K29" s="54">
        <f t="shared" si="5"/>
        <v>32.125069440000004</v>
      </c>
      <c r="L29" s="53">
        <f t="shared" si="27"/>
        <v>32.125069440000004</v>
      </c>
      <c r="M29" s="54">
        <f t="shared" si="1"/>
        <v>32.125069440000004</v>
      </c>
      <c r="N29" s="53">
        <f>M29*2</f>
        <v>64.250138880000009</v>
      </c>
      <c r="O29" s="262">
        <f>N29*1.9</f>
        <v>122.07526387200001</v>
      </c>
      <c r="P29" s="53">
        <f>O29*1.03</f>
        <v>125.73752178816001</v>
      </c>
      <c r="Q29" s="262">
        <f t="shared" ref="Q29:AK29" si="41">P29*1.03</f>
        <v>129.50964744180482</v>
      </c>
      <c r="R29" s="262">
        <f t="shared" si="41"/>
        <v>133.39493686505895</v>
      </c>
      <c r="S29" s="262">
        <f t="shared" si="41"/>
        <v>137.39678497101073</v>
      </c>
      <c r="T29" s="262">
        <f t="shared" si="41"/>
        <v>141.51868852014107</v>
      </c>
      <c r="U29" s="262">
        <f t="shared" si="41"/>
        <v>145.76424917574531</v>
      </c>
      <c r="V29" s="262">
        <f t="shared" si="41"/>
        <v>150.13717665101768</v>
      </c>
      <c r="W29" s="262">
        <f t="shared" si="41"/>
        <v>154.64129195054821</v>
      </c>
      <c r="X29" s="262">
        <f t="shared" si="41"/>
        <v>159.28053070906466</v>
      </c>
      <c r="Y29" s="262">
        <f t="shared" si="41"/>
        <v>164.05894663033661</v>
      </c>
      <c r="Z29" s="262">
        <f t="shared" si="41"/>
        <v>168.98071502924671</v>
      </c>
      <c r="AA29" s="262">
        <f t="shared" si="41"/>
        <v>174.05013648012411</v>
      </c>
      <c r="AB29" s="262">
        <f t="shared" si="41"/>
        <v>179.27164057452785</v>
      </c>
      <c r="AC29" s="262">
        <f t="shared" si="41"/>
        <v>184.64978979176368</v>
      </c>
      <c r="AD29" s="262">
        <f t="shared" si="41"/>
        <v>190.1892834855166</v>
      </c>
      <c r="AE29" s="262">
        <f t="shared" si="41"/>
        <v>195.89496199008209</v>
      </c>
      <c r="AF29" s="262">
        <f t="shared" si="41"/>
        <v>201.77181084978457</v>
      </c>
      <c r="AG29" s="262">
        <f t="shared" si="41"/>
        <v>207.82496517527812</v>
      </c>
      <c r="AH29" s="262">
        <f t="shared" si="41"/>
        <v>214.05971413053646</v>
      </c>
      <c r="AI29" s="262">
        <f t="shared" si="41"/>
        <v>220.48150555445255</v>
      </c>
      <c r="AJ29" s="262">
        <f t="shared" si="41"/>
        <v>227.09595072108613</v>
      </c>
      <c r="AK29" s="262">
        <f t="shared" si="41"/>
        <v>233.90882924271872</v>
      </c>
    </row>
    <row r="30" spans="1:37" x14ac:dyDescent="0.35">
      <c r="A30" s="10" t="s">
        <v>27</v>
      </c>
      <c r="B30" s="99">
        <v>845</v>
      </c>
      <c r="C30" s="99">
        <v>784</v>
      </c>
      <c r="D30" s="50">
        <v>1755</v>
      </c>
      <c r="E30" s="51">
        <v>1650</v>
      </c>
      <c r="F30" s="50">
        <v>1555</v>
      </c>
      <c r="G30" s="51">
        <v>803</v>
      </c>
      <c r="H30" s="50">
        <v>711</v>
      </c>
      <c r="I30" s="92">
        <v>898.80000000000007</v>
      </c>
      <c r="J30" s="47">
        <f t="shared" si="4"/>
        <v>1020.9469200000001</v>
      </c>
      <c r="K30" s="48">
        <f t="shared" si="5"/>
        <v>802.05590035200009</v>
      </c>
      <c r="L30" s="47">
        <f t="shared" si="27"/>
        <v>802.05590035200009</v>
      </c>
      <c r="M30" s="48">
        <f t="shared" si="1"/>
        <v>802.05590035200009</v>
      </c>
      <c r="N30" s="47">
        <f t="shared" si="28"/>
        <v>998.39918475816967</v>
      </c>
      <c r="O30" s="48">
        <f>N30*1.02</f>
        <v>1018.3671684533331</v>
      </c>
      <c r="P30" s="47">
        <f t="shared" ref="P30" si="42">O30+(O30*$P$10)</f>
        <v>1083.746340668037</v>
      </c>
      <c r="Q30" s="48">
        <f t="shared" si="6"/>
        <v>1098.9187894373895</v>
      </c>
      <c r="R30" s="47">
        <f t="shared" si="7"/>
        <v>1108.5892747844384</v>
      </c>
      <c r="S30" s="48">
        <f t="shared" si="8"/>
        <v>1118.1231425475846</v>
      </c>
      <c r="T30" s="47">
        <f t="shared" si="9"/>
        <v>1127.5153769449844</v>
      </c>
      <c r="U30" s="48">
        <f t="shared" si="10"/>
        <v>1136.7610030359333</v>
      </c>
      <c r="V30" s="47">
        <f t="shared" si="11"/>
        <v>1145.9687671605243</v>
      </c>
      <c r="W30" s="48">
        <f t="shared" si="12"/>
        <v>1149.4066734620058</v>
      </c>
      <c r="X30" s="47">
        <f t="shared" si="13"/>
        <v>1152.7399528150456</v>
      </c>
      <c r="Y30" s="48">
        <f t="shared" si="14"/>
        <v>1156.0828986782092</v>
      </c>
      <c r="Z30" s="47">
        <f t="shared" si="15"/>
        <v>1159.3199307945081</v>
      </c>
      <c r="AA30" s="48">
        <f t="shared" si="16"/>
        <v>1159.6677267737464</v>
      </c>
      <c r="AB30" s="47">
        <f t="shared" si="17"/>
        <v>1160.0156270917785</v>
      </c>
      <c r="AC30" s="48">
        <f t="shared" si="18"/>
        <v>1160.2476302171967</v>
      </c>
      <c r="AD30" s="47">
        <f t="shared" si="19"/>
        <v>1160.4796797432402</v>
      </c>
      <c r="AE30" s="48">
        <f t="shared" si="20"/>
        <v>1160.7117756791888</v>
      </c>
      <c r="AF30" s="47">
        <f t="shared" si="21"/>
        <v>1159.2028503708059</v>
      </c>
      <c r="AG30" s="48">
        <f t="shared" si="22"/>
        <v>1157.6958866653238</v>
      </c>
      <c r="AH30" s="47">
        <f t="shared" si="23"/>
        <v>1156.1908820126589</v>
      </c>
      <c r="AI30" s="48">
        <f t="shared" si="24"/>
        <v>1154.6878338660424</v>
      </c>
      <c r="AJ30" s="47">
        <f t="shared" si="25"/>
        <v>1153.1867396820167</v>
      </c>
      <c r="AK30" s="47">
        <f t="shared" si="26"/>
        <v>1151.8029155943982</v>
      </c>
    </row>
    <row r="31" spans="1:37" x14ac:dyDescent="0.35">
      <c r="A31" s="14" t="s">
        <v>28</v>
      </c>
      <c r="B31" s="102">
        <v>1721</v>
      </c>
      <c r="C31" s="102">
        <v>1795</v>
      </c>
      <c r="D31" s="56">
        <v>1857</v>
      </c>
      <c r="E31" s="57">
        <v>1856.5</v>
      </c>
      <c r="F31" s="56">
        <v>1765</v>
      </c>
      <c r="G31" s="57">
        <v>757</v>
      </c>
      <c r="H31" s="56">
        <v>159</v>
      </c>
      <c r="I31" s="89">
        <v>254.39999999999998</v>
      </c>
      <c r="J31" s="56">
        <f t="shared" si="4"/>
        <v>288.97296</v>
      </c>
      <c r="K31" s="57">
        <f t="shared" si="5"/>
        <v>227.017157376</v>
      </c>
      <c r="L31" s="56">
        <f t="shared" si="27"/>
        <v>227.017157376</v>
      </c>
      <c r="M31" s="57">
        <f t="shared" si="1"/>
        <v>227.017157376</v>
      </c>
      <c r="N31" s="56">
        <f>M31*1.5</f>
        <v>340.525736064</v>
      </c>
      <c r="O31" s="263">
        <f>N31*1.5</f>
        <v>510.78860409599997</v>
      </c>
      <c r="P31" s="263">
        <f>O31*1.5</f>
        <v>766.18290614399996</v>
      </c>
      <c r="Q31" s="263">
        <f>P31*1.04</f>
        <v>796.83022238976002</v>
      </c>
      <c r="R31" s="263">
        <f t="shared" ref="R31" si="43">Q31*1.04</f>
        <v>828.70343128535046</v>
      </c>
      <c r="S31" s="263">
        <f>R31*1.05</f>
        <v>870.138602849618</v>
      </c>
      <c r="T31" s="263">
        <f t="shared" ref="T31:AK31" si="44">S31*1.05</f>
        <v>913.64553299209888</v>
      </c>
      <c r="U31" s="263">
        <f t="shared" si="44"/>
        <v>959.32780964170388</v>
      </c>
      <c r="V31" s="263">
        <f t="shared" si="44"/>
        <v>1007.2942001237891</v>
      </c>
      <c r="W31" s="263">
        <f t="shared" si="44"/>
        <v>1057.6589101299785</v>
      </c>
      <c r="X31" s="263">
        <f t="shared" si="44"/>
        <v>1110.5418556364775</v>
      </c>
      <c r="Y31" s="263">
        <f t="shared" si="44"/>
        <v>1166.0689484183015</v>
      </c>
      <c r="Z31" s="263">
        <f t="shared" si="44"/>
        <v>1224.3723958392166</v>
      </c>
      <c r="AA31" s="263">
        <f t="shared" si="44"/>
        <v>1285.5910156311775</v>
      </c>
      <c r="AB31" s="263">
        <f t="shared" si="44"/>
        <v>1349.8705664127365</v>
      </c>
      <c r="AC31" s="263">
        <f t="shared" si="44"/>
        <v>1417.3640947333733</v>
      </c>
      <c r="AD31" s="263">
        <f t="shared" si="44"/>
        <v>1488.2322994700421</v>
      </c>
      <c r="AE31" s="263">
        <f t="shared" si="44"/>
        <v>1562.6439144435442</v>
      </c>
      <c r="AF31" s="263">
        <f t="shared" si="44"/>
        <v>1640.7761101657215</v>
      </c>
      <c r="AG31" s="263">
        <f t="shared" si="44"/>
        <v>1722.8149156740078</v>
      </c>
      <c r="AH31" s="263">
        <f t="shared" si="44"/>
        <v>1808.9556614577082</v>
      </c>
      <c r="AI31" s="263">
        <f t="shared" si="44"/>
        <v>1899.4034445305936</v>
      </c>
      <c r="AJ31" s="263">
        <f t="shared" si="44"/>
        <v>1994.3736167571233</v>
      </c>
      <c r="AK31" s="263">
        <f t="shared" si="44"/>
        <v>2094.0922975949793</v>
      </c>
    </row>
    <row r="32" spans="1:37" x14ac:dyDescent="0.35">
      <c r="A32" s="10" t="s">
        <v>29</v>
      </c>
      <c r="B32" s="103" t="s">
        <v>60</v>
      </c>
      <c r="C32" s="103" t="s">
        <v>60</v>
      </c>
      <c r="D32" s="50">
        <v>0</v>
      </c>
      <c r="E32" s="51">
        <v>0</v>
      </c>
      <c r="F32" s="50">
        <v>20</v>
      </c>
      <c r="G32" s="51">
        <v>95</v>
      </c>
      <c r="H32" s="50">
        <v>0</v>
      </c>
      <c r="I32" s="92">
        <v>0</v>
      </c>
      <c r="J32" s="47">
        <f t="shared" si="4"/>
        <v>0</v>
      </c>
      <c r="K32" s="48">
        <f t="shared" si="5"/>
        <v>0</v>
      </c>
      <c r="L32" s="47">
        <f t="shared" si="27"/>
        <v>0</v>
      </c>
      <c r="M32" s="48">
        <f t="shared" si="1"/>
        <v>0</v>
      </c>
      <c r="N32" s="47">
        <v>130</v>
      </c>
      <c r="O32" s="48">
        <f>N32*1.3</f>
        <v>169</v>
      </c>
      <c r="P32" s="267">
        <f>O32*1.3</f>
        <v>219.70000000000002</v>
      </c>
      <c r="Q32" s="267">
        <f>P32*1.1</f>
        <v>241.67000000000004</v>
      </c>
      <c r="R32" s="267">
        <f t="shared" ref="R32" si="45">Q32*1.1</f>
        <v>265.83700000000005</v>
      </c>
      <c r="S32" s="267">
        <f>R32*1.01</f>
        <v>268.49537000000004</v>
      </c>
      <c r="T32" s="267">
        <f>S32*1.015</f>
        <v>272.52280055</v>
      </c>
      <c r="U32" s="267">
        <f t="shared" ref="U32:V32" si="46">T32*1.015</f>
        <v>276.61064255824999</v>
      </c>
      <c r="V32" s="267">
        <f t="shared" si="46"/>
        <v>280.7598021966237</v>
      </c>
      <c r="W32" s="267">
        <f>V32*1.02</f>
        <v>286.37499824055618</v>
      </c>
      <c r="X32" s="267">
        <f>W32*1.03</f>
        <v>294.96624818777286</v>
      </c>
      <c r="Y32" s="267">
        <f t="shared" ref="Y32:AK32" si="47">X32*1.03</f>
        <v>303.81523563340608</v>
      </c>
      <c r="Z32" s="267">
        <f t="shared" si="47"/>
        <v>312.92969270240826</v>
      </c>
      <c r="AA32" s="267">
        <f t="shared" si="47"/>
        <v>322.31758348348052</v>
      </c>
      <c r="AB32" s="267">
        <f t="shared" si="47"/>
        <v>331.98711098798492</v>
      </c>
      <c r="AC32" s="267">
        <f t="shared" si="47"/>
        <v>341.9467243176245</v>
      </c>
      <c r="AD32" s="267">
        <f t="shared" si="47"/>
        <v>352.20512604715327</v>
      </c>
      <c r="AE32" s="267">
        <f t="shared" si="47"/>
        <v>362.77127982856786</v>
      </c>
      <c r="AF32" s="267">
        <f t="shared" si="47"/>
        <v>373.6544182234249</v>
      </c>
      <c r="AG32" s="267">
        <f t="shared" si="47"/>
        <v>384.86405077012768</v>
      </c>
      <c r="AH32" s="267">
        <f t="shared" si="47"/>
        <v>396.40997229323153</v>
      </c>
      <c r="AI32" s="267">
        <f t="shared" si="47"/>
        <v>408.3022714620285</v>
      </c>
      <c r="AJ32" s="267">
        <f t="shared" si="47"/>
        <v>420.55133960588938</v>
      </c>
      <c r="AK32" s="267">
        <f t="shared" si="47"/>
        <v>433.1678797940661</v>
      </c>
    </row>
    <row r="33" spans="1:113" x14ac:dyDescent="0.35">
      <c r="A33" s="14" t="s">
        <v>30</v>
      </c>
      <c r="B33" s="102">
        <v>1113</v>
      </c>
      <c r="C33" s="102">
        <v>1128</v>
      </c>
      <c r="D33" s="56">
        <v>1124</v>
      </c>
      <c r="E33" s="57">
        <v>1144</v>
      </c>
      <c r="F33" s="56">
        <v>1139</v>
      </c>
      <c r="G33" s="57">
        <v>461</v>
      </c>
      <c r="H33" s="56">
        <v>0</v>
      </c>
      <c r="I33" s="92">
        <v>0</v>
      </c>
      <c r="J33" s="56">
        <f t="shared" si="4"/>
        <v>0</v>
      </c>
      <c r="K33" s="57">
        <f t="shared" si="5"/>
        <v>0</v>
      </c>
      <c r="L33" s="56">
        <f t="shared" si="27"/>
        <v>0</v>
      </c>
      <c r="M33" s="57">
        <f t="shared" si="1"/>
        <v>0</v>
      </c>
      <c r="N33" s="56">
        <v>500</v>
      </c>
      <c r="O33" s="57">
        <f>N33*1.5</f>
        <v>750</v>
      </c>
      <c r="P33" s="56">
        <f>O33*1.025</f>
        <v>768.74999999999989</v>
      </c>
      <c r="Q33" s="263">
        <f>P33*1.025</f>
        <v>787.96874999999977</v>
      </c>
      <c r="R33" s="263">
        <f>Q33*1.025</f>
        <v>807.66796874999966</v>
      </c>
      <c r="S33" s="263">
        <f>R33*1.02</f>
        <v>823.8213281249997</v>
      </c>
      <c r="T33" s="263">
        <f t="shared" ref="T33:AK33" si="48">S33*1.02</f>
        <v>840.29775468749972</v>
      </c>
      <c r="U33" s="263">
        <f t="shared" si="48"/>
        <v>857.10370978124968</v>
      </c>
      <c r="V33" s="263">
        <f t="shared" si="48"/>
        <v>874.24578397687469</v>
      </c>
      <c r="W33" s="263">
        <f t="shared" si="48"/>
        <v>891.73069965641218</v>
      </c>
      <c r="X33" s="263">
        <f t="shared" si="48"/>
        <v>909.56531364954049</v>
      </c>
      <c r="Y33" s="263">
        <f t="shared" si="48"/>
        <v>927.75661992253129</v>
      </c>
      <c r="Z33" s="263">
        <f t="shared" si="48"/>
        <v>946.3117523209819</v>
      </c>
      <c r="AA33" s="263">
        <f t="shared" si="48"/>
        <v>965.2379873674015</v>
      </c>
      <c r="AB33" s="263">
        <f t="shared" si="48"/>
        <v>984.54274711474955</v>
      </c>
      <c r="AC33" s="263">
        <f t="shared" si="48"/>
        <v>1004.2336020570445</v>
      </c>
      <c r="AD33" s="263">
        <f t="shared" si="48"/>
        <v>1024.3182740981854</v>
      </c>
      <c r="AE33" s="263">
        <f t="shared" si="48"/>
        <v>1044.8046395801491</v>
      </c>
      <c r="AF33" s="263">
        <f t="shared" si="48"/>
        <v>1065.7007323717521</v>
      </c>
      <c r="AG33" s="263">
        <f t="shared" si="48"/>
        <v>1087.0147470191871</v>
      </c>
      <c r="AH33" s="263">
        <f t="shared" si="48"/>
        <v>1108.7550419595709</v>
      </c>
      <c r="AI33" s="263">
        <f t="shared" si="48"/>
        <v>1130.9301427987623</v>
      </c>
      <c r="AJ33" s="263">
        <f t="shared" si="48"/>
        <v>1153.5487456547376</v>
      </c>
      <c r="AK33" s="263">
        <f t="shared" si="48"/>
        <v>1176.6197205678322</v>
      </c>
    </row>
    <row r="34" spans="1:113" ht="15" thickBot="1" x14ac:dyDescent="0.4">
      <c r="A34" s="10" t="s">
        <v>31</v>
      </c>
      <c r="B34" s="99">
        <v>835</v>
      </c>
      <c r="C34" s="99">
        <v>832</v>
      </c>
      <c r="D34" s="50">
        <v>1458</v>
      </c>
      <c r="E34" s="51">
        <v>1330.5</v>
      </c>
      <c r="F34" s="50">
        <v>1337.5</v>
      </c>
      <c r="G34" s="51">
        <v>1147</v>
      </c>
      <c r="H34" s="50">
        <v>1109</v>
      </c>
      <c r="I34" s="93">
        <v>1386</v>
      </c>
      <c r="J34" s="106">
        <f t="shared" si="4"/>
        <v>1574.3574000000001</v>
      </c>
      <c r="K34" s="48">
        <f t="shared" si="5"/>
        <v>1236.8151734400001</v>
      </c>
      <c r="L34" s="106">
        <f t="shared" si="27"/>
        <v>1236.8151734400001</v>
      </c>
      <c r="M34" s="48">
        <f t="shared" si="1"/>
        <v>1236.8151734400001</v>
      </c>
      <c r="N34" s="106">
        <f>M34*1.005</f>
        <v>1242.9992493072</v>
      </c>
      <c r="O34" s="48">
        <f>N34*1.005</f>
        <v>1249.214245553736</v>
      </c>
      <c r="P34" s="267">
        <f>O34*1.005</f>
        <v>1255.4603167815046</v>
      </c>
      <c r="Q34" s="48">
        <f t="shared" si="6"/>
        <v>1273.0367612164457</v>
      </c>
      <c r="R34" s="106">
        <f t="shared" si="7"/>
        <v>1284.2394847151504</v>
      </c>
      <c r="S34" s="48">
        <f t="shared" si="8"/>
        <v>1295.2839442837007</v>
      </c>
      <c r="T34" s="106">
        <f t="shared" si="9"/>
        <v>1306.1643294156838</v>
      </c>
      <c r="U34" s="48">
        <f t="shared" si="10"/>
        <v>1316.8748769168924</v>
      </c>
      <c r="V34" s="106">
        <f t="shared" si="11"/>
        <v>1327.5415634199192</v>
      </c>
      <c r="W34" s="48">
        <f t="shared" si="12"/>
        <v>1331.524188110179</v>
      </c>
      <c r="X34" s="106">
        <f t="shared" si="13"/>
        <v>1335.3856082556986</v>
      </c>
      <c r="Y34" s="48">
        <f t="shared" si="14"/>
        <v>1339.2582265196402</v>
      </c>
      <c r="Z34" s="106">
        <f t="shared" si="15"/>
        <v>1343.0081495538952</v>
      </c>
      <c r="AA34" s="48">
        <f t="shared" si="16"/>
        <v>1343.4110519987614</v>
      </c>
      <c r="AB34" s="106">
        <f t="shared" si="17"/>
        <v>1343.8140753143612</v>
      </c>
      <c r="AC34" s="267">
        <f t="shared" si="18"/>
        <v>1344.0828381294241</v>
      </c>
      <c r="AD34" s="106">
        <f t="shared" si="19"/>
        <v>1344.35165469705</v>
      </c>
      <c r="AE34" s="48">
        <f t="shared" si="20"/>
        <v>1344.6205250279893</v>
      </c>
      <c r="AF34" s="106">
        <f t="shared" si="21"/>
        <v>1342.8725183454528</v>
      </c>
      <c r="AG34" s="48">
        <f t="shared" si="22"/>
        <v>1341.1267840716037</v>
      </c>
      <c r="AH34" s="106">
        <f t="shared" si="23"/>
        <v>1339.3833192523105</v>
      </c>
      <c r="AI34" s="48">
        <f t="shared" si="24"/>
        <v>1337.6421209372825</v>
      </c>
      <c r="AJ34" s="106">
        <f t="shared" si="25"/>
        <v>1335.903186180064</v>
      </c>
      <c r="AK34" s="106">
        <f t="shared" si="26"/>
        <v>1334.300102356648</v>
      </c>
    </row>
    <row r="35" spans="1:113" s="135" customFormat="1" ht="15" thickBot="1" x14ac:dyDescent="0.4">
      <c r="A35" s="17" t="s">
        <v>32</v>
      </c>
      <c r="B35" s="253">
        <f t="shared" ref="B35:AK35" si="49">SUM(B14:B34)</f>
        <v>21627</v>
      </c>
      <c r="C35" s="253">
        <f t="shared" si="49"/>
        <v>21951</v>
      </c>
      <c r="D35" s="59">
        <f t="shared" si="49"/>
        <v>29061</v>
      </c>
      <c r="E35" s="60">
        <f t="shared" si="49"/>
        <v>27572</v>
      </c>
      <c r="F35" s="59">
        <f t="shared" si="49"/>
        <v>26772.5</v>
      </c>
      <c r="G35" s="60">
        <f t="shared" si="49"/>
        <v>16175</v>
      </c>
      <c r="H35" s="59">
        <f t="shared" si="49"/>
        <v>14456</v>
      </c>
      <c r="I35" s="59">
        <f t="shared" si="49"/>
        <v>15880.8</v>
      </c>
      <c r="J35" s="62">
        <f t="shared" si="49"/>
        <v>17982.996719999999</v>
      </c>
      <c r="K35" s="59">
        <f t="shared" si="49"/>
        <v>14127.342223232001</v>
      </c>
      <c r="L35" s="62">
        <f t="shared" si="49"/>
        <v>14127.342223232001</v>
      </c>
      <c r="M35" s="59">
        <f t="shared" si="49"/>
        <v>14127.342223232001</v>
      </c>
      <c r="N35" s="62">
        <f t="shared" si="49"/>
        <v>15846.984937649035</v>
      </c>
      <c r="O35" s="59">
        <f t="shared" si="49"/>
        <v>17452.485474187633</v>
      </c>
      <c r="P35" s="62">
        <f t="shared" si="49"/>
        <v>18345.493929925407</v>
      </c>
      <c r="Q35" s="59">
        <f t="shared" si="49"/>
        <v>18598.964816178672</v>
      </c>
      <c r="R35" s="62">
        <f t="shared" si="49"/>
        <v>18820.140313581105</v>
      </c>
      <c r="S35" s="59">
        <f t="shared" si="49"/>
        <v>19027.117491350571</v>
      </c>
      <c r="T35" s="62">
        <f t="shared" si="49"/>
        <v>19238.659991555054</v>
      </c>
      <c r="U35" s="59">
        <f t="shared" si="49"/>
        <v>19453.627518203466</v>
      </c>
      <c r="V35" s="62">
        <f t="shared" si="49"/>
        <v>19670.559281124526</v>
      </c>
      <c r="W35" s="59">
        <f t="shared" si="49"/>
        <v>19847.481085542422</v>
      </c>
      <c r="X35" s="62">
        <f t="shared" si="49"/>
        <v>20031.591199192113</v>
      </c>
      <c r="Y35" s="59">
        <f t="shared" si="49"/>
        <v>20220.263576496294</v>
      </c>
      <c r="Z35" s="62">
        <f t="shared" si="49"/>
        <v>20413.736540739585</v>
      </c>
      <c r="AA35" s="59">
        <f t="shared" si="49"/>
        <v>20526.009835144512</v>
      </c>
      <c r="AB35" s="62">
        <f t="shared" si="49"/>
        <v>20645.201434212227</v>
      </c>
      <c r="AC35" s="281">
        <f t="shared" si="18"/>
        <v>20649.330474499071</v>
      </c>
      <c r="AD35" s="62">
        <f t="shared" si="49"/>
        <v>20903.620712586566</v>
      </c>
      <c r="AE35" s="59">
        <f t="shared" si="49"/>
        <v>21044.392010369211</v>
      </c>
      <c r="AF35" s="62">
        <f t="shared" si="49"/>
        <v>21179.341569687029</v>
      </c>
      <c r="AG35" s="59">
        <f t="shared" si="49"/>
        <v>21322.806350270832</v>
      </c>
      <c r="AH35" s="62">
        <f t="shared" si="49"/>
        <v>21475.160146723087</v>
      </c>
      <c r="AI35" s="59">
        <f t="shared" si="49"/>
        <v>21658.275566429522</v>
      </c>
      <c r="AJ35" s="62">
        <f t="shared" si="49"/>
        <v>21850.636962645614</v>
      </c>
      <c r="AK35" s="59">
        <f t="shared" si="49"/>
        <v>22056.296032507085</v>
      </c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4"/>
      <c r="BQ35" s="254"/>
      <c r="BR35" s="254"/>
      <c r="BS35" s="254"/>
      <c r="BT35" s="254"/>
      <c r="BU35" s="254"/>
      <c r="BV35" s="254"/>
      <c r="BW35" s="254"/>
      <c r="BX35" s="254"/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254"/>
      <c r="CN35" s="254"/>
      <c r="CO35" s="254"/>
      <c r="CP35" s="254"/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254"/>
      <c r="DF35" s="254"/>
      <c r="DG35" s="254"/>
      <c r="DH35" s="254"/>
      <c r="DI35" s="254"/>
    </row>
    <row r="36" spans="1:113" ht="15" thickBot="1" x14ac:dyDescent="0.4">
      <c r="A36" s="37" t="s">
        <v>39</v>
      </c>
      <c r="B36" s="38"/>
      <c r="C36" s="37"/>
      <c r="D36" s="81">
        <v>25289</v>
      </c>
      <c r="E36" s="82">
        <v>24582</v>
      </c>
      <c r="F36" s="83">
        <v>23266.5</v>
      </c>
      <c r="G36" s="39"/>
      <c r="H36" s="94">
        <f t="shared" ref="H36:AK36" si="50">(H35-G35)/G35</f>
        <v>-0.10627511591962906</v>
      </c>
      <c r="I36" s="94">
        <f t="shared" si="50"/>
        <v>9.8561151079136641E-2</v>
      </c>
      <c r="J36" s="94">
        <f t="shared" si="50"/>
        <v>0.13237347740667976</v>
      </c>
      <c r="K36" s="94">
        <f t="shared" si="50"/>
        <v>-0.21440556080844342</v>
      </c>
      <c r="L36" s="94">
        <f t="shared" si="50"/>
        <v>0</v>
      </c>
      <c r="M36" s="94">
        <f t="shared" si="50"/>
        <v>0</v>
      </c>
      <c r="N36" s="94">
        <f t="shared" si="50"/>
        <v>0.12172443246891348</v>
      </c>
      <c r="O36" s="94">
        <f t="shared" si="50"/>
        <v>0.10131268142523907</v>
      </c>
      <c r="P36" s="94">
        <f t="shared" si="50"/>
        <v>5.1167981606891511E-2</v>
      </c>
      <c r="Q36" s="94">
        <f t="shared" si="50"/>
        <v>1.3816520134124016E-2</v>
      </c>
      <c r="R36" s="94">
        <f t="shared" si="50"/>
        <v>1.1891817613958792E-2</v>
      </c>
      <c r="S36" s="94">
        <f t="shared" si="50"/>
        <v>1.0997642648822643E-2</v>
      </c>
      <c r="T36" s="94">
        <f t="shared" si="50"/>
        <v>1.1117947860502094E-2</v>
      </c>
      <c r="U36" s="94">
        <f t="shared" si="50"/>
        <v>1.1173726587130985E-2</v>
      </c>
      <c r="V36" s="94">
        <f t="shared" si="50"/>
        <v>1.1151224249465509E-2</v>
      </c>
      <c r="W36" s="94">
        <f t="shared" si="50"/>
        <v>8.9942437268505458E-3</v>
      </c>
      <c r="X36" s="94">
        <f t="shared" si="50"/>
        <v>9.2762458296938716E-3</v>
      </c>
      <c r="Y36" s="94">
        <f t="shared" si="50"/>
        <v>9.4187413984262291E-3</v>
      </c>
      <c r="Z36" s="94">
        <f t="shared" si="50"/>
        <v>9.5682711311528192E-3</v>
      </c>
      <c r="AA36" s="94">
        <f t="shared" si="50"/>
        <v>5.4998894583000212E-3</v>
      </c>
      <c r="AB36" s="94">
        <f t="shared" si="50"/>
        <v>5.8068567649049909E-3</v>
      </c>
      <c r="AC36" s="94">
        <f t="shared" si="50"/>
        <v>2.0000000000005202E-4</v>
      </c>
      <c r="AD36" s="94">
        <f t="shared" si="50"/>
        <v>1.2314696517716689E-2</v>
      </c>
      <c r="AE36" s="94">
        <f t="shared" si="50"/>
        <v>6.7343021440244202E-3</v>
      </c>
      <c r="AF36" s="94">
        <f t="shared" si="50"/>
        <v>6.4126138332399581E-3</v>
      </c>
      <c r="AG36" s="94">
        <f t="shared" si="50"/>
        <v>6.7738073967859936E-3</v>
      </c>
      <c r="AH36" s="94">
        <f t="shared" si="50"/>
        <v>7.1451099798746538E-3</v>
      </c>
      <c r="AI36" s="94">
        <f t="shared" si="50"/>
        <v>8.5268476907901878E-3</v>
      </c>
      <c r="AJ36" s="94">
        <f t="shared" si="50"/>
        <v>8.881657989163922E-3</v>
      </c>
      <c r="AK36" s="94">
        <f t="shared" si="50"/>
        <v>9.4120400340297582E-3</v>
      </c>
    </row>
    <row r="37" spans="1:113" x14ac:dyDescent="0.35">
      <c r="A37" s="3"/>
      <c r="B37" s="3"/>
      <c r="C37" s="3"/>
      <c r="D37" s="3"/>
      <c r="E37" s="3"/>
      <c r="F37" s="3"/>
      <c r="G37" s="3"/>
    </row>
    <row r="38" spans="1:113" x14ac:dyDescent="0.35">
      <c r="A38" s="105" t="s">
        <v>40</v>
      </c>
      <c r="B38" s="63"/>
      <c r="C38" s="63"/>
      <c r="D38" s="63"/>
      <c r="E38" s="63"/>
      <c r="F38" s="63"/>
      <c r="G38" s="63"/>
    </row>
    <row r="39" spans="1:113" x14ac:dyDescent="0.35">
      <c r="A39" s="105" t="s">
        <v>41</v>
      </c>
      <c r="B39" s="63"/>
      <c r="C39" s="63"/>
      <c r="D39" s="63"/>
      <c r="E39" s="63"/>
      <c r="F39" s="63"/>
      <c r="G39" s="63"/>
    </row>
    <row r="41" spans="1:113" ht="18" x14ac:dyDescent="0.35">
      <c r="A41" s="41" t="s">
        <v>61</v>
      </c>
      <c r="B41" s="41"/>
      <c r="C41" s="41"/>
      <c r="D41" s="41"/>
      <c r="E41" s="41"/>
      <c r="F41" s="41"/>
      <c r="G41" s="41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</row>
    <row r="42" spans="1:113" ht="16" thickBot="1" x14ac:dyDescent="0.4">
      <c r="A42" s="4"/>
      <c r="B42" s="5"/>
      <c r="C42" s="5"/>
      <c r="D42" s="5"/>
      <c r="E42" s="5"/>
      <c r="F42" s="5"/>
      <c r="G42" s="5"/>
      <c r="H42" s="3"/>
      <c r="I42" s="3"/>
      <c r="J42" s="3"/>
      <c r="K42" s="320" t="s">
        <v>66</v>
      </c>
      <c r="L42" s="320"/>
      <c r="M42" s="32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113" ht="16" thickBot="1" x14ac:dyDescent="0.4">
      <c r="A43" s="64" t="s">
        <v>42</v>
      </c>
      <c r="B43" s="316" t="s">
        <v>43</v>
      </c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8"/>
    </row>
    <row r="44" spans="1:113" ht="15" thickBot="1" x14ac:dyDescent="0.4">
      <c r="A44" s="65"/>
      <c r="B44" s="78" t="s">
        <v>62</v>
      </c>
      <c r="C44" s="108" t="s">
        <v>63</v>
      </c>
      <c r="D44" s="78" t="s">
        <v>44</v>
      </c>
      <c r="E44" s="108" t="s">
        <v>45</v>
      </c>
      <c r="F44" s="77" t="s">
        <v>46</v>
      </c>
      <c r="G44" s="77" t="s">
        <v>9</v>
      </c>
      <c r="H44" s="78" t="s">
        <v>10</v>
      </c>
      <c r="I44" s="108" t="s">
        <v>64</v>
      </c>
      <c r="J44" s="78">
        <v>2023</v>
      </c>
      <c r="K44" s="77">
        <v>2024</v>
      </c>
      <c r="L44" s="77">
        <v>2025</v>
      </c>
      <c r="M44" s="77">
        <v>2026</v>
      </c>
      <c r="N44" s="77">
        <v>2027</v>
      </c>
      <c r="O44" s="78">
        <v>2028</v>
      </c>
      <c r="P44" s="80">
        <v>2029</v>
      </c>
      <c r="Q44" s="77">
        <v>2030</v>
      </c>
      <c r="R44" s="77">
        <v>2031</v>
      </c>
      <c r="S44" s="77">
        <v>2032</v>
      </c>
      <c r="T44" s="77">
        <v>2033</v>
      </c>
      <c r="U44" s="78">
        <v>2034</v>
      </c>
      <c r="V44" s="77">
        <v>2035</v>
      </c>
      <c r="W44" s="77">
        <v>2036</v>
      </c>
      <c r="X44" s="77">
        <v>2037</v>
      </c>
      <c r="Y44" s="77">
        <v>2038</v>
      </c>
      <c r="Z44" s="77">
        <v>2039</v>
      </c>
      <c r="AA44" s="77">
        <v>2040</v>
      </c>
      <c r="AB44" s="77">
        <v>2041</v>
      </c>
      <c r="AC44" s="77">
        <v>2042</v>
      </c>
      <c r="AD44" s="77">
        <v>2043</v>
      </c>
      <c r="AE44" s="77">
        <v>2044</v>
      </c>
      <c r="AF44" s="77">
        <v>2045</v>
      </c>
      <c r="AG44" s="77">
        <v>2046</v>
      </c>
      <c r="AH44" s="77">
        <v>2047</v>
      </c>
      <c r="AI44" s="77">
        <v>2048</v>
      </c>
      <c r="AJ44" s="77">
        <v>2049</v>
      </c>
      <c r="AK44" s="77">
        <v>2050</v>
      </c>
    </row>
    <row r="45" spans="1:113" x14ac:dyDescent="0.35">
      <c r="A45" s="66" t="s">
        <v>47</v>
      </c>
      <c r="B45" s="67">
        <v>896</v>
      </c>
      <c r="C45" s="68">
        <v>1044</v>
      </c>
      <c r="D45" s="109">
        <v>727</v>
      </c>
      <c r="E45" s="110">
        <v>661</v>
      </c>
      <c r="F45" s="111">
        <v>720</v>
      </c>
      <c r="G45" s="110">
        <v>523</v>
      </c>
      <c r="H45" s="111">
        <v>518</v>
      </c>
      <c r="I45" s="112">
        <v>664.8</v>
      </c>
      <c r="J45" s="112">
        <f>I45*1.02</f>
        <v>678.096</v>
      </c>
      <c r="K45" s="112">
        <f t="shared" ref="K45:M53" si="51">J45*1.02</f>
        <v>691.65791999999999</v>
      </c>
      <c r="L45" s="112">
        <f t="shared" si="51"/>
        <v>705.49107839999999</v>
      </c>
      <c r="M45" s="112">
        <f>L45*1.02</f>
        <v>719.60089996800002</v>
      </c>
      <c r="N45" s="112">
        <f t="shared" ref="N45:P53" si="52">M45*1.025</f>
        <v>737.5909224671999</v>
      </c>
      <c r="O45" s="112">
        <f t="shared" si="52"/>
        <v>756.03069552887985</v>
      </c>
      <c r="P45" s="112">
        <f t="shared" si="52"/>
        <v>774.93146291710173</v>
      </c>
      <c r="Q45" s="112">
        <f t="shared" ref="Q45:S53" si="53">P45*1.015</f>
        <v>786.55543486085821</v>
      </c>
      <c r="R45" s="112">
        <f>Q45*1.015</f>
        <v>798.35376638377102</v>
      </c>
      <c r="S45" s="112">
        <f>R45*1.015</f>
        <v>810.32907287952753</v>
      </c>
      <c r="T45" s="112">
        <f t="shared" ref="T45:V53" si="54">S45*1.015</f>
        <v>822.4840089727204</v>
      </c>
      <c r="U45" s="112">
        <f t="shared" si="54"/>
        <v>834.82126910731108</v>
      </c>
      <c r="V45" s="112">
        <f t="shared" si="54"/>
        <v>847.34358814392067</v>
      </c>
      <c r="W45" s="12">
        <f t="shared" ref="W45:AE53" si="55">V45*1.01</f>
        <v>855.81702402535984</v>
      </c>
      <c r="X45" s="12">
        <f t="shared" si="55"/>
        <v>864.37519426561346</v>
      </c>
      <c r="Y45" s="12">
        <f t="shared" si="55"/>
        <v>873.01894620826965</v>
      </c>
      <c r="Z45" s="12">
        <f t="shared" si="55"/>
        <v>881.7491356703523</v>
      </c>
      <c r="AA45" s="12">
        <f t="shared" si="55"/>
        <v>890.5666270270558</v>
      </c>
      <c r="AB45" s="12">
        <f t="shared" si="55"/>
        <v>899.47229329732636</v>
      </c>
      <c r="AC45" s="12">
        <f t="shared" si="55"/>
        <v>908.46701623029958</v>
      </c>
      <c r="AD45" s="12">
        <f t="shared" si="55"/>
        <v>917.55168639260262</v>
      </c>
      <c r="AE45" s="12">
        <f t="shared" si="55"/>
        <v>926.7272032565287</v>
      </c>
      <c r="AF45" s="12">
        <f>AE45*1</f>
        <v>926.7272032565287</v>
      </c>
      <c r="AG45" s="12">
        <f t="shared" ref="AG45:AK45" si="56">AF45*1</f>
        <v>926.7272032565287</v>
      </c>
      <c r="AH45" s="12">
        <f t="shared" si="56"/>
        <v>926.7272032565287</v>
      </c>
      <c r="AI45" s="12">
        <f t="shared" si="56"/>
        <v>926.7272032565287</v>
      </c>
      <c r="AJ45" s="12">
        <f t="shared" si="56"/>
        <v>926.7272032565287</v>
      </c>
      <c r="AK45" s="12">
        <f t="shared" si="56"/>
        <v>926.7272032565287</v>
      </c>
    </row>
    <row r="46" spans="1:113" x14ac:dyDescent="0.35">
      <c r="A46" s="69" t="s">
        <v>48</v>
      </c>
      <c r="B46" s="70">
        <v>1193</v>
      </c>
      <c r="C46" s="71">
        <v>1152</v>
      </c>
      <c r="D46" s="113">
        <v>57</v>
      </c>
      <c r="E46" s="114">
        <v>167</v>
      </c>
      <c r="F46" s="113">
        <v>306</v>
      </c>
      <c r="G46" s="114">
        <v>633</v>
      </c>
      <c r="H46" s="113">
        <v>535</v>
      </c>
      <c r="I46" s="115">
        <v>872.40000000000009</v>
      </c>
      <c r="J46" s="112">
        <f t="shared" ref="J46:J53" si="57">I46*1.02</f>
        <v>889.84800000000007</v>
      </c>
      <c r="K46" s="112">
        <f t="shared" si="51"/>
        <v>907.64496000000008</v>
      </c>
      <c r="L46" s="112">
        <f t="shared" si="51"/>
        <v>925.79785920000006</v>
      </c>
      <c r="M46" s="112">
        <f t="shared" si="51"/>
        <v>944.31381638400012</v>
      </c>
      <c r="N46" s="112">
        <f t="shared" si="52"/>
        <v>967.92166179360004</v>
      </c>
      <c r="O46" s="112">
        <f t="shared" si="52"/>
        <v>992.11970333843999</v>
      </c>
      <c r="P46" s="112">
        <f t="shared" si="52"/>
        <v>1016.9226959219009</v>
      </c>
      <c r="Q46" s="112">
        <f t="shared" si="53"/>
        <v>1032.1765363607292</v>
      </c>
      <c r="R46" s="112">
        <f t="shared" si="53"/>
        <v>1047.65918440614</v>
      </c>
      <c r="S46" s="112">
        <f t="shared" si="53"/>
        <v>1063.374072172232</v>
      </c>
      <c r="T46" s="112">
        <f t="shared" si="54"/>
        <v>1079.3246832548155</v>
      </c>
      <c r="U46" s="112">
        <f t="shared" si="54"/>
        <v>1095.5145535036377</v>
      </c>
      <c r="V46" s="112">
        <f t="shared" si="54"/>
        <v>1111.947271806192</v>
      </c>
      <c r="W46" s="12">
        <f t="shared" si="55"/>
        <v>1123.0667445242539</v>
      </c>
      <c r="X46" s="12">
        <f t="shared" si="55"/>
        <v>1134.2974119694964</v>
      </c>
      <c r="Y46" s="12">
        <f t="shared" si="55"/>
        <v>1145.6403860891912</v>
      </c>
      <c r="Z46" s="12">
        <f t="shared" si="55"/>
        <v>1157.0967899500831</v>
      </c>
      <c r="AA46" s="12">
        <f t="shared" si="55"/>
        <v>1168.6677578495839</v>
      </c>
      <c r="AB46" s="12">
        <f t="shared" si="55"/>
        <v>1180.3544354280798</v>
      </c>
      <c r="AC46" s="12">
        <f t="shared" si="55"/>
        <v>1192.1579797823606</v>
      </c>
      <c r="AD46" s="12">
        <f t="shared" si="55"/>
        <v>1204.0795595801842</v>
      </c>
      <c r="AE46" s="12">
        <f t="shared" si="55"/>
        <v>1216.1203551759861</v>
      </c>
      <c r="AF46" s="12">
        <f t="shared" ref="AF46:AK53" si="58">AE46*1</f>
        <v>1216.1203551759861</v>
      </c>
      <c r="AG46" s="12">
        <f t="shared" si="58"/>
        <v>1216.1203551759861</v>
      </c>
      <c r="AH46" s="12">
        <f t="shared" si="58"/>
        <v>1216.1203551759861</v>
      </c>
      <c r="AI46" s="12">
        <f t="shared" si="58"/>
        <v>1216.1203551759861</v>
      </c>
      <c r="AJ46" s="12">
        <f t="shared" si="58"/>
        <v>1216.1203551759861</v>
      </c>
      <c r="AK46" s="12">
        <f t="shared" si="58"/>
        <v>1216.1203551759861</v>
      </c>
    </row>
    <row r="47" spans="1:113" x14ac:dyDescent="0.35">
      <c r="A47" s="69" t="s">
        <v>49</v>
      </c>
      <c r="B47" s="72">
        <v>1428</v>
      </c>
      <c r="C47" s="73">
        <v>1623</v>
      </c>
      <c r="D47" s="116">
        <v>214</v>
      </c>
      <c r="E47" s="117">
        <v>644</v>
      </c>
      <c r="F47" s="116">
        <v>1130</v>
      </c>
      <c r="G47" s="117">
        <v>663</v>
      </c>
      <c r="H47" s="116">
        <v>338</v>
      </c>
      <c r="I47" s="115">
        <v>756</v>
      </c>
      <c r="J47" s="112">
        <f t="shared" si="57"/>
        <v>771.12</v>
      </c>
      <c r="K47" s="112">
        <f t="shared" si="51"/>
        <v>786.54240000000004</v>
      </c>
      <c r="L47" s="112">
        <f t="shared" si="51"/>
        <v>802.27324800000008</v>
      </c>
      <c r="M47" s="112">
        <f t="shared" si="51"/>
        <v>818.31871296000008</v>
      </c>
      <c r="N47" s="112">
        <f t="shared" si="52"/>
        <v>838.77668078400006</v>
      </c>
      <c r="O47" s="112">
        <f t="shared" si="52"/>
        <v>859.74609780360004</v>
      </c>
      <c r="P47" s="112">
        <f t="shared" si="52"/>
        <v>881.23975024868992</v>
      </c>
      <c r="Q47" s="112">
        <f t="shared" si="53"/>
        <v>894.45834650242023</v>
      </c>
      <c r="R47" s="112">
        <f t="shared" si="53"/>
        <v>907.87522169995646</v>
      </c>
      <c r="S47" s="112">
        <f t="shared" si="53"/>
        <v>921.4933500254557</v>
      </c>
      <c r="T47" s="112">
        <f t="shared" si="54"/>
        <v>935.31575027583744</v>
      </c>
      <c r="U47" s="112">
        <f t="shared" si="54"/>
        <v>949.34548652997489</v>
      </c>
      <c r="V47" s="112">
        <f t="shared" si="54"/>
        <v>963.58566882792445</v>
      </c>
      <c r="W47" s="12">
        <f t="shared" si="55"/>
        <v>973.22152551620366</v>
      </c>
      <c r="X47" s="12">
        <f t="shared" si="55"/>
        <v>982.95374077136569</v>
      </c>
      <c r="Y47" s="12">
        <f t="shared" si="55"/>
        <v>992.78327817907939</v>
      </c>
      <c r="Z47" s="12">
        <f t="shared" si="55"/>
        <v>1002.7111109608702</v>
      </c>
      <c r="AA47" s="12">
        <f t="shared" si="55"/>
        <v>1012.7382220704789</v>
      </c>
      <c r="AB47" s="12">
        <f t="shared" si="55"/>
        <v>1022.8656042911837</v>
      </c>
      <c r="AC47" s="12">
        <f t="shared" si="55"/>
        <v>1033.0942603340955</v>
      </c>
      <c r="AD47" s="12">
        <f t="shared" si="55"/>
        <v>1043.4252029374363</v>
      </c>
      <c r="AE47" s="12">
        <f t="shared" si="55"/>
        <v>1053.8594549668107</v>
      </c>
      <c r="AF47" s="12">
        <f t="shared" si="58"/>
        <v>1053.8594549668107</v>
      </c>
      <c r="AG47" s="12">
        <f t="shared" si="58"/>
        <v>1053.8594549668107</v>
      </c>
      <c r="AH47" s="12">
        <f t="shared" si="58"/>
        <v>1053.8594549668107</v>
      </c>
      <c r="AI47" s="12">
        <f t="shared" si="58"/>
        <v>1053.8594549668107</v>
      </c>
      <c r="AJ47" s="12">
        <f t="shared" si="58"/>
        <v>1053.8594549668107</v>
      </c>
      <c r="AK47" s="12">
        <f t="shared" si="58"/>
        <v>1053.8594549668107</v>
      </c>
    </row>
    <row r="48" spans="1:113" x14ac:dyDescent="0.35">
      <c r="A48" s="14" t="s">
        <v>50</v>
      </c>
      <c r="B48" s="70">
        <v>455</v>
      </c>
      <c r="C48" s="71">
        <v>634</v>
      </c>
      <c r="D48" s="113">
        <v>383</v>
      </c>
      <c r="E48" s="114">
        <v>458</v>
      </c>
      <c r="F48" s="113">
        <v>563</v>
      </c>
      <c r="G48" s="114">
        <v>741</v>
      </c>
      <c r="H48" s="113">
        <v>820</v>
      </c>
      <c r="I48" s="115">
        <v>1032</v>
      </c>
      <c r="J48" s="112">
        <f t="shared" si="57"/>
        <v>1052.6400000000001</v>
      </c>
      <c r="K48" s="112">
        <f t="shared" si="51"/>
        <v>1073.6928</v>
      </c>
      <c r="L48" s="112">
        <f t="shared" si="51"/>
        <v>1095.1666560000001</v>
      </c>
      <c r="M48" s="112">
        <f t="shared" si="51"/>
        <v>1117.0699891200002</v>
      </c>
      <c r="N48" s="112">
        <f t="shared" si="52"/>
        <v>1144.9967388480002</v>
      </c>
      <c r="O48" s="112">
        <f t="shared" si="52"/>
        <v>1173.6216573192</v>
      </c>
      <c r="P48" s="112">
        <f t="shared" si="52"/>
        <v>1202.96219875218</v>
      </c>
      <c r="Q48" s="112">
        <f t="shared" si="53"/>
        <v>1221.0066317334627</v>
      </c>
      <c r="R48" s="112">
        <f t="shared" si="53"/>
        <v>1239.3217312094646</v>
      </c>
      <c r="S48" s="112">
        <f t="shared" si="53"/>
        <v>1257.9115571776065</v>
      </c>
      <c r="T48" s="112">
        <f t="shared" si="54"/>
        <v>1276.7802305352704</v>
      </c>
      <c r="U48" s="112">
        <f t="shared" si="54"/>
        <v>1295.9319339932995</v>
      </c>
      <c r="V48" s="112">
        <f t="shared" si="54"/>
        <v>1315.3709130031989</v>
      </c>
      <c r="W48" s="12">
        <f t="shared" si="55"/>
        <v>1328.5246221332309</v>
      </c>
      <c r="X48" s="12">
        <f t="shared" si="55"/>
        <v>1341.8098683545632</v>
      </c>
      <c r="Y48" s="12">
        <f t="shared" si="55"/>
        <v>1355.2279670381088</v>
      </c>
      <c r="Z48" s="12">
        <f t="shared" si="55"/>
        <v>1368.7802467084898</v>
      </c>
      <c r="AA48" s="12">
        <f t="shared" si="55"/>
        <v>1382.4680491755748</v>
      </c>
      <c r="AB48" s="12">
        <f t="shared" si="55"/>
        <v>1396.2927296673306</v>
      </c>
      <c r="AC48" s="12">
        <f t="shared" si="55"/>
        <v>1410.2556569640039</v>
      </c>
      <c r="AD48" s="12">
        <f t="shared" si="55"/>
        <v>1424.3582135336439</v>
      </c>
      <c r="AE48" s="12">
        <f t="shared" si="55"/>
        <v>1438.6017956689805</v>
      </c>
      <c r="AF48" s="12">
        <f t="shared" si="58"/>
        <v>1438.6017956689805</v>
      </c>
      <c r="AG48" s="12">
        <f t="shared" si="58"/>
        <v>1438.6017956689805</v>
      </c>
      <c r="AH48" s="12">
        <f t="shared" si="58"/>
        <v>1438.6017956689805</v>
      </c>
      <c r="AI48" s="12">
        <f t="shared" si="58"/>
        <v>1438.6017956689805</v>
      </c>
      <c r="AJ48" s="12">
        <f t="shared" si="58"/>
        <v>1438.6017956689805</v>
      </c>
      <c r="AK48" s="12">
        <f t="shared" si="58"/>
        <v>1438.6017956689805</v>
      </c>
    </row>
    <row r="49" spans="1:37" x14ac:dyDescent="0.35">
      <c r="A49" s="14" t="s">
        <v>51</v>
      </c>
      <c r="B49" s="70">
        <v>789</v>
      </c>
      <c r="C49" s="71">
        <v>773</v>
      </c>
      <c r="D49" s="113">
        <v>310</v>
      </c>
      <c r="E49" s="114">
        <v>325</v>
      </c>
      <c r="F49" s="113">
        <v>556</v>
      </c>
      <c r="G49" s="114">
        <v>450</v>
      </c>
      <c r="H49" s="113">
        <v>409</v>
      </c>
      <c r="I49" s="115">
        <v>501.59999999999997</v>
      </c>
      <c r="J49" s="112">
        <f t="shared" si="57"/>
        <v>511.63199999999995</v>
      </c>
      <c r="K49" s="112">
        <f t="shared" si="51"/>
        <v>521.86464000000001</v>
      </c>
      <c r="L49" s="112">
        <f t="shared" si="51"/>
        <v>532.30193280000003</v>
      </c>
      <c r="M49" s="112">
        <f t="shared" si="51"/>
        <v>542.947971456</v>
      </c>
      <c r="N49" s="112">
        <f t="shared" si="52"/>
        <v>556.52167074239992</v>
      </c>
      <c r="O49" s="112">
        <f t="shared" si="52"/>
        <v>570.43471251095991</v>
      </c>
      <c r="P49" s="112">
        <f t="shared" si="52"/>
        <v>584.69558032373391</v>
      </c>
      <c r="Q49" s="112">
        <f t="shared" si="53"/>
        <v>593.46601402858983</v>
      </c>
      <c r="R49" s="112">
        <f t="shared" si="53"/>
        <v>602.36800423901866</v>
      </c>
      <c r="S49" s="112">
        <f t="shared" si="53"/>
        <v>611.40352430260384</v>
      </c>
      <c r="T49" s="112">
        <f t="shared" si="54"/>
        <v>620.57457716714282</v>
      </c>
      <c r="U49" s="112">
        <f t="shared" si="54"/>
        <v>629.88319582464987</v>
      </c>
      <c r="V49" s="112">
        <f t="shared" si="54"/>
        <v>639.3314437620196</v>
      </c>
      <c r="W49" s="12">
        <f t="shared" si="55"/>
        <v>645.72475819963984</v>
      </c>
      <c r="X49" s="12">
        <f t="shared" si="55"/>
        <v>652.18200578163624</v>
      </c>
      <c r="Y49" s="12">
        <f t="shared" si="55"/>
        <v>658.70382583945263</v>
      </c>
      <c r="Z49" s="12">
        <f t="shared" si="55"/>
        <v>665.29086409784713</v>
      </c>
      <c r="AA49" s="12">
        <f t="shared" si="55"/>
        <v>671.9437727388256</v>
      </c>
      <c r="AB49" s="12">
        <f t="shared" si="55"/>
        <v>678.66321046621385</v>
      </c>
      <c r="AC49" s="12">
        <f t="shared" si="55"/>
        <v>685.44984257087594</v>
      </c>
      <c r="AD49" s="12">
        <f t="shared" si="55"/>
        <v>692.30434099658476</v>
      </c>
      <c r="AE49" s="12">
        <f t="shared" si="55"/>
        <v>699.22738440655064</v>
      </c>
      <c r="AF49" s="12">
        <f t="shared" si="58"/>
        <v>699.22738440655064</v>
      </c>
      <c r="AG49" s="12">
        <f t="shared" si="58"/>
        <v>699.22738440655064</v>
      </c>
      <c r="AH49" s="12">
        <f t="shared" si="58"/>
        <v>699.22738440655064</v>
      </c>
      <c r="AI49" s="12">
        <f t="shared" si="58"/>
        <v>699.22738440655064</v>
      </c>
      <c r="AJ49" s="12">
        <f t="shared" si="58"/>
        <v>699.22738440655064</v>
      </c>
      <c r="AK49" s="12">
        <f t="shared" si="58"/>
        <v>699.22738440655064</v>
      </c>
    </row>
    <row r="50" spans="1:37" x14ac:dyDescent="0.35">
      <c r="A50" s="14" t="s">
        <v>52</v>
      </c>
      <c r="B50" s="72">
        <v>1257</v>
      </c>
      <c r="C50" s="73">
        <v>1333</v>
      </c>
      <c r="D50" s="116">
        <v>455</v>
      </c>
      <c r="E50" s="117">
        <v>381</v>
      </c>
      <c r="F50" s="116">
        <v>786</v>
      </c>
      <c r="G50" s="117">
        <v>572</v>
      </c>
      <c r="H50" s="116">
        <v>574</v>
      </c>
      <c r="I50" s="115">
        <v>850.80000000000007</v>
      </c>
      <c r="J50" s="112">
        <f t="shared" si="57"/>
        <v>867.81600000000003</v>
      </c>
      <c r="K50" s="112">
        <f t="shared" si="51"/>
        <v>885.17232000000001</v>
      </c>
      <c r="L50" s="112">
        <f t="shared" si="51"/>
        <v>902.87576639999997</v>
      </c>
      <c r="M50" s="112">
        <f t="shared" si="51"/>
        <v>920.933281728</v>
      </c>
      <c r="N50" s="112">
        <f t="shared" si="52"/>
        <v>943.95661377119995</v>
      </c>
      <c r="O50" s="112">
        <f t="shared" si="52"/>
        <v>967.55552911547989</v>
      </c>
      <c r="P50" s="112">
        <f t="shared" si="52"/>
        <v>991.74441734336676</v>
      </c>
      <c r="Q50" s="112">
        <f t="shared" si="53"/>
        <v>1006.6205836035172</v>
      </c>
      <c r="R50" s="112">
        <f t="shared" si="53"/>
        <v>1021.7198923575698</v>
      </c>
      <c r="S50" s="112">
        <f t="shared" si="53"/>
        <v>1037.0456907429334</v>
      </c>
      <c r="T50" s="112">
        <f t="shared" si="54"/>
        <v>1052.6013761040772</v>
      </c>
      <c r="U50" s="112">
        <f t="shared" si="54"/>
        <v>1068.3903967456383</v>
      </c>
      <c r="V50" s="112">
        <f t="shared" si="54"/>
        <v>1084.4162526968228</v>
      </c>
      <c r="W50" s="12">
        <f t="shared" si="55"/>
        <v>1095.2604152237909</v>
      </c>
      <c r="X50" s="12">
        <f t="shared" si="55"/>
        <v>1106.2130193760288</v>
      </c>
      <c r="Y50" s="12">
        <f t="shared" si="55"/>
        <v>1117.2751495697892</v>
      </c>
      <c r="Z50" s="12">
        <f t="shared" si="55"/>
        <v>1128.447901065487</v>
      </c>
      <c r="AA50" s="12">
        <f t="shared" si="55"/>
        <v>1139.7323800761419</v>
      </c>
      <c r="AB50" s="12">
        <f t="shared" si="55"/>
        <v>1151.1297038769032</v>
      </c>
      <c r="AC50" s="12">
        <f t="shared" si="55"/>
        <v>1162.6410009156723</v>
      </c>
      <c r="AD50" s="12">
        <f t="shared" si="55"/>
        <v>1174.2674109248289</v>
      </c>
      <c r="AE50" s="12">
        <f t="shared" si="55"/>
        <v>1186.0100850340773</v>
      </c>
      <c r="AF50" s="12">
        <f t="shared" si="58"/>
        <v>1186.0100850340773</v>
      </c>
      <c r="AG50" s="12">
        <f t="shared" si="58"/>
        <v>1186.0100850340773</v>
      </c>
      <c r="AH50" s="12">
        <f t="shared" si="58"/>
        <v>1186.0100850340773</v>
      </c>
      <c r="AI50" s="12">
        <f t="shared" si="58"/>
        <v>1186.0100850340773</v>
      </c>
      <c r="AJ50" s="12">
        <f t="shared" si="58"/>
        <v>1186.0100850340773</v>
      </c>
      <c r="AK50" s="12">
        <f t="shared" si="58"/>
        <v>1186.0100850340773</v>
      </c>
    </row>
    <row r="51" spans="1:37" x14ac:dyDescent="0.35">
      <c r="A51" s="14" t="s">
        <v>53</v>
      </c>
      <c r="B51" s="72">
        <v>5540</v>
      </c>
      <c r="C51" s="73">
        <v>6066</v>
      </c>
      <c r="D51" s="116">
        <v>7492</v>
      </c>
      <c r="E51" s="117">
        <v>7702</v>
      </c>
      <c r="F51" s="116">
        <v>7915</v>
      </c>
      <c r="G51" s="117">
        <v>5373</v>
      </c>
      <c r="H51" s="116">
        <v>6181</v>
      </c>
      <c r="I51" s="115">
        <v>7804.7999999999993</v>
      </c>
      <c r="J51" s="112">
        <f t="shared" si="57"/>
        <v>7960.8959999999997</v>
      </c>
      <c r="K51" s="112">
        <f t="shared" si="51"/>
        <v>8120.1139199999998</v>
      </c>
      <c r="L51" s="112">
        <f t="shared" si="51"/>
        <v>8282.5161984000006</v>
      </c>
      <c r="M51" s="112">
        <f t="shared" si="51"/>
        <v>8448.1665223680011</v>
      </c>
      <c r="N51" s="112">
        <f t="shared" si="52"/>
        <v>8659.3706854272004</v>
      </c>
      <c r="O51" s="112">
        <f t="shared" si="52"/>
        <v>8875.8549525628805</v>
      </c>
      <c r="P51" s="112">
        <f t="shared" si="52"/>
        <v>9097.7513263769524</v>
      </c>
      <c r="Q51" s="112">
        <f t="shared" si="53"/>
        <v>9234.2175962726051</v>
      </c>
      <c r="R51" s="112">
        <f t="shared" si="53"/>
        <v>9372.7308602166941</v>
      </c>
      <c r="S51" s="112">
        <f t="shared" si="53"/>
        <v>9513.3218231199444</v>
      </c>
      <c r="T51" s="112">
        <f t="shared" si="54"/>
        <v>9656.0216504667424</v>
      </c>
      <c r="U51" s="112">
        <f t="shared" si="54"/>
        <v>9800.8619752237428</v>
      </c>
      <c r="V51" s="112">
        <f t="shared" si="54"/>
        <v>9947.8749048520986</v>
      </c>
      <c r="W51" s="12">
        <f t="shared" si="55"/>
        <v>10047.35365390062</v>
      </c>
      <c r="X51" s="12">
        <f t="shared" si="55"/>
        <v>10147.827190439626</v>
      </c>
      <c r="Y51" s="12">
        <f t="shared" si="55"/>
        <v>10249.305462344022</v>
      </c>
      <c r="Z51" s="12">
        <f t="shared" si="55"/>
        <v>10351.798516967463</v>
      </c>
      <c r="AA51" s="12">
        <f t="shared" si="55"/>
        <v>10455.316502137137</v>
      </c>
      <c r="AB51" s="12">
        <f t="shared" si="55"/>
        <v>10559.869667158508</v>
      </c>
      <c r="AC51" s="12">
        <f t="shared" si="55"/>
        <v>10665.468363830092</v>
      </c>
      <c r="AD51" s="12">
        <f t="shared" si="55"/>
        <v>10772.123047468393</v>
      </c>
      <c r="AE51" s="12">
        <f t="shared" si="55"/>
        <v>10879.844277943077</v>
      </c>
      <c r="AF51" s="12">
        <f t="shared" si="58"/>
        <v>10879.844277943077</v>
      </c>
      <c r="AG51" s="12">
        <f t="shared" si="58"/>
        <v>10879.844277943077</v>
      </c>
      <c r="AH51" s="12">
        <f t="shared" si="58"/>
        <v>10879.844277943077</v>
      </c>
      <c r="AI51" s="12">
        <f t="shared" si="58"/>
        <v>10879.844277943077</v>
      </c>
      <c r="AJ51" s="12">
        <f t="shared" si="58"/>
        <v>10879.844277943077</v>
      </c>
      <c r="AK51" s="12">
        <f t="shared" si="58"/>
        <v>10879.844277943077</v>
      </c>
    </row>
    <row r="52" spans="1:37" x14ac:dyDescent="0.35">
      <c r="A52" s="14" t="s">
        <v>54</v>
      </c>
      <c r="B52" s="103" t="s">
        <v>60</v>
      </c>
      <c r="C52" s="103" t="s">
        <v>60</v>
      </c>
      <c r="D52" s="118">
        <v>0</v>
      </c>
      <c r="E52" s="119">
        <v>0</v>
      </c>
      <c r="F52" s="118">
        <v>0</v>
      </c>
      <c r="G52" s="119">
        <v>0</v>
      </c>
      <c r="H52" s="118">
        <v>0</v>
      </c>
      <c r="I52" s="115">
        <v>163.19999999999999</v>
      </c>
      <c r="J52" s="112">
        <f t="shared" si="57"/>
        <v>166.464</v>
      </c>
      <c r="K52" s="112">
        <f t="shared" si="51"/>
        <v>169.79328000000001</v>
      </c>
      <c r="L52" s="112">
        <f t="shared" si="51"/>
        <v>173.18914560000002</v>
      </c>
      <c r="M52" s="112">
        <f t="shared" si="51"/>
        <v>176.65292851200002</v>
      </c>
      <c r="N52" s="112">
        <f t="shared" si="52"/>
        <v>181.06925172480001</v>
      </c>
      <c r="O52" s="112">
        <f t="shared" si="52"/>
        <v>185.59598301791999</v>
      </c>
      <c r="P52" s="112">
        <f t="shared" si="52"/>
        <v>190.23588259336796</v>
      </c>
      <c r="Q52" s="112">
        <f t="shared" si="53"/>
        <v>193.08942083226847</v>
      </c>
      <c r="R52" s="112">
        <f t="shared" si="53"/>
        <v>195.98576214475247</v>
      </c>
      <c r="S52" s="112">
        <f t="shared" si="53"/>
        <v>198.92554857692375</v>
      </c>
      <c r="T52" s="112">
        <f t="shared" si="54"/>
        <v>201.90943180557758</v>
      </c>
      <c r="U52" s="112">
        <f t="shared" si="54"/>
        <v>204.93807328266124</v>
      </c>
      <c r="V52" s="112">
        <f t="shared" si="54"/>
        <v>208.01214438190112</v>
      </c>
      <c r="W52" s="12">
        <f t="shared" si="55"/>
        <v>210.09226582572015</v>
      </c>
      <c r="X52" s="12">
        <f t="shared" si="55"/>
        <v>212.19318848397734</v>
      </c>
      <c r="Y52" s="12">
        <f t="shared" si="55"/>
        <v>214.31512036881711</v>
      </c>
      <c r="Z52" s="12">
        <f t="shared" si="55"/>
        <v>216.45827157250528</v>
      </c>
      <c r="AA52" s="12">
        <f t="shared" si="55"/>
        <v>218.62285428823034</v>
      </c>
      <c r="AB52" s="12">
        <f t="shared" si="55"/>
        <v>220.80908283111265</v>
      </c>
      <c r="AC52" s="12">
        <f t="shared" si="55"/>
        <v>223.01717365942378</v>
      </c>
      <c r="AD52" s="12">
        <f t="shared" si="55"/>
        <v>225.24734539601801</v>
      </c>
      <c r="AE52" s="12">
        <f t="shared" si="55"/>
        <v>227.4998188499782</v>
      </c>
      <c r="AF52" s="12">
        <f t="shared" si="58"/>
        <v>227.4998188499782</v>
      </c>
      <c r="AG52" s="12">
        <f t="shared" si="58"/>
        <v>227.4998188499782</v>
      </c>
      <c r="AH52" s="12">
        <f t="shared" si="58"/>
        <v>227.4998188499782</v>
      </c>
      <c r="AI52" s="12">
        <f t="shared" si="58"/>
        <v>227.4998188499782</v>
      </c>
      <c r="AJ52" s="12">
        <f t="shared" si="58"/>
        <v>227.4998188499782</v>
      </c>
      <c r="AK52" s="12">
        <f t="shared" si="58"/>
        <v>227.4998188499782</v>
      </c>
    </row>
    <row r="53" spans="1:37" ht="15" thickBot="1" x14ac:dyDescent="0.4">
      <c r="A53" s="74" t="s">
        <v>55</v>
      </c>
      <c r="B53" s="103" t="s">
        <v>60</v>
      </c>
      <c r="C53" s="103" t="s">
        <v>60</v>
      </c>
      <c r="D53" s="120">
        <v>0</v>
      </c>
      <c r="E53" s="121">
        <v>5</v>
      </c>
      <c r="F53" s="122">
        <v>10</v>
      </c>
      <c r="G53" s="121">
        <v>10</v>
      </c>
      <c r="H53" s="122">
        <v>4</v>
      </c>
      <c r="I53" s="123">
        <v>94.800000000000011</v>
      </c>
      <c r="J53" s="112">
        <f t="shared" si="57"/>
        <v>96.696000000000012</v>
      </c>
      <c r="K53" s="112">
        <f t="shared" si="51"/>
        <v>98.629920000000013</v>
      </c>
      <c r="L53" s="112">
        <f t="shared" si="51"/>
        <v>100.60251840000001</v>
      </c>
      <c r="M53" s="112">
        <f t="shared" si="51"/>
        <v>102.61456876800001</v>
      </c>
      <c r="N53" s="112">
        <f t="shared" si="52"/>
        <v>105.1799329872</v>
      </c>
      <c r="O53" s="112">
        <f t="shared" si="52"/>
        <v>107.80943131187999</v>
      </c>
      <c r="P53" s="112">
        <f t="shared" si="52"/>
        <v>110.50466709467698</v>
      </c>
      <c r="Q53" s="112">
        <f t="shared" si="53"/>
        <v>112.16223710109712</v>
      </c>
      <c r="R53" s="112">
        <f t="shared" si="53"/>
        <v>113.84467065761356</v>
      </c>
      <c r="S53" s="112">
        <f t="shared" si="53"/>
        <v>115.55234071747776</v>
      </c>
      <c r="T53" s="112">
        <f t="shared" si="54"/>
        <v>117.28562582823992</v>
      </c>
      <c r="U53" s="112">
        <f t="shared" si="54"/>
        <v>119.04491021566351</v>
      </c>
      <c r="V53" s="112">
        <f t="shared" si="54"/>
        <v>120.83058386889844</v>
      </c>
      <c r="W53" s="12">
        <f t="shared" si="55"/>
        <v>122.03888970758743</v>
      </c>
      <c r="X53" s="12">
        <f t="shared" si="55"/>
        <v>123.25927860466331</v>
      </c>
      <c r="Y53" s="12">
        <f t="shared" si="55"/>
        <v>124.49187139070995</v>
      </c>
      <c r="Z53" s="12">
        <f t="shared" si="55"/>
        <v>125.73679010461704</v>
      </c>
      <c r="AA53" s="12">
        <f t="shared" si="55"/>
        <v>126.99415800566321</v>
      </c>
      <c r="AB53" s="12">
        <f t="shared" si="55"/>
        <v>128.26409958571983</v>
      </c>
      <c r="AC53" s="12">
        <f t="shared" si="55"/>
        <v>129.54674058157704</v>
      </c>
      <c r="AD53" s="12">
        <f t="shared" si="55"/>
        <v>130.84220798739281</v>
      </c>
      <c r="AE53" s="12">
        <f t="shared" si="55"/>
        <v>132.15063006726675</v>
      </c>
      <c r="AF53" s="12">
        <f t="shared" si="58"/>
        <v>132.15063006726675</v>
      </c>
      <c r="AG53" s="12">
        <f t="shared" si="58"/>
        <v>132.15063006726675</v>
      </c>
      <c r="AH53" s="12">
        <f t="shared" si="58"/>
        <v>132.15063006726675</v>
      </c>
      <c r="AI53" s="12">
        <f t="shared" si="58"/>
        <v>132.15063006726675</v>
      </c>
      <c r="AJ53" s="12">
        <f t="shared" si="58"/>
        <v>132.15063006726675</v>
      </c>
      <c r="AK53" s="12">
        <f t="shared" si="58"/>
        <v>132.15063006726675</v>
      </c>
    </row>
    <row r="54" spans="1:37" ht="15" thickBot="1" x14ac:dyDescent="0.4">
      <c r="A54" s="95" t="s">
        <v>32</v>
      </c>
      <c r="B54" s="124">
        <f>SUM(B45:B53)</f>
        <v>11558</v>
      </c>
      <c r="C54" s="125">
        <f>SUM(C45:C53)</f>
        <v>12625</v>
      </c>
      <c r="D54" s="124">
        <f>SUM(D45:D53)</f>
        <v>9638</v>
      </c>
      <c r="E54" s="125">
        <f>SUM(E45:E53)</f>
        <v>10343</v>
      </c>
      <c r="F54" s="124">
        <f t="shared" ref="F54:AK54" si="59">SUM(F45:F53)</f>
        <v>11986</v>
      </c>
      <c r="G54" s="126">
        <f t="shared" si="59"/>
        <v>8965</v>
      </c>
      <c r="H54" s="126">
        <f t="shared" si="59"/>
        <v>9379</v>
      </c>
      <c r="I54" s="126">
        <f t="shared" si="59"/>
        <v>12740.399999999998</v>
      </c>
      <c r="J54" s="126">
        <f t="shared" si="59"/>
        <v>12995.207999999999</v>
      </c>
      <c r="K54" s="126">
        <f t="shared" si="59"/>
        <v>13255.112159999999</v>
      </c>
      <c r="L54" s="126">
        <f t="shared" si="59"/>
        <v>13520.2144032</v>
      </c>
      <c r="M54" s="126">
        <f t="shared" si="59"/>
        <v>13790.618691264002</v>
      </c>
      <c r="N54" s="126">
        <f t="shared" si="59"/>
        <v>14135.384158545599</v>
      </c>
      <c r="O54" s="126">
        <f t="shared" si="59"/>
        <v>14488.76876250924</v>
      </c>
      <c r="P54" s="126">
        <f t="shared" si="59"/>
        <v>14850.987981571972</v>
      </c>
      <c r="Q54" s="96">
        <f t="shared" si="59"/>
        <v>15073.752801295546</v>
      </c>
      <c r="R54" s="96">
        <f t="shared" si="59"/>
        <v>15299.859093314981</v>
      </c>
      <c r="S54" s="96">
        <f t="shared" si="59"/>
        <v>15529.356979714705</v>
      </c>
      <c r="T54" s="96">
        <f t="shared" si="59"/>
        <v>15762.297334410423</v>
      </c>
      <c r="U54" s="96">
        <f t="shared" si="59"/>
        <v>15998.731794426578</v>
      </c>
      <c r="V54" s="96">
        <f t="shared" si="59"/>
        <v>16238.712771342976</v>
      </c>
      <c r="W54" s="96">
        <f t="shared" si="59"/>
        <v>16401.099899056408</v>
      </c>
      <c r="X54" s="96">
        <f t="shared" si="59"/>
        <v>16565.110898046969</v>
      </c>
      <c r="Y54" s="96">
        <f t="shared" si="59"/>
        <v>16730.762007027442</v>
      </c>
      <c r="Z54" s="96">
        <f t="shared" si="59"/>
        <v>16898.069627097713</v>
      </c>
      <c r="AA54" s="96">
        <f t="shared" si="59"/>
        <v>17067.05032336869</v>
      </c>
      <c r="AB54" s="96">
        <f t="shared" si="59"/>
        <v>17237.720826602377</v>
      </c>
      <c r="AC54" s="96">
        <f t="shared" si="59"/>
        <v>17410.098034868402</v>
      </c>
      <c r="AD54" s="96">
        <f t="shared" si="59"/>
        <v>17584.199015217084</v>
      </c>
      <c r="AE54" s="96">
        <f t="shared" si="59"/>
        <v>17760.041005369254</v>
      </c>
      <c r="AF54" s="96">
        <f t="shared" si="59"/>
        <v>17760.041005369254</v>
      </c>
      <c r="AG54" s="96">
        <f t="shared" si="59"/>
        <v>17760.041005369254</v>
      </c>
      <c r="AH54" s="96">
        <f t="shared" si="59"/>
        <v>17760.041005369254</v>
      </c>
      <c r="AI54" s="96">
        <f t="shared" si="59"/>
        <v>17760.041005369254</v>
      </c>
      <c r="AJ54" s="96">
        <f t="shared" si="59"/>
        <v>17760.041005369254</v>
      </c>
      <c r="AK54" s="96">
        <f t="shared" si="59"/>
        <v>17760.041005369254</v>
      </c>
    </row>
  </sheetData>
  <mergeCells count="7">
    <mergeCell ref="B43:AK43"/>
    <mergeCell ref="K42:M42"/>
    <mergeCell ref="B1:E3"/>
    <mergeCell ref="F1:AK3"/>
    <mergeCell ref="A4:H4"/>
    <mergeCell ref="B12:AK12"/>
    <mergeCell ref="K11:M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zoomScale="60" zoomScaleNormal="60" workbookViewId="0">
      <selection activeCell="E12" sqref="E12"/>
    </sheetView>
  </sheetViews>
  <sheetFormatPr defaultRowHeight="14.5" x14ac:dyDescent="0.35"/>
  <cols>
    <col min="1" max="2" width="13.6328125" customWidth="1"/>
    <col min="3" max="5" width="10.6328125" customWidth="1"/>
    <col min="8" max="9" width="13.6328125" customWidth="1"/>
  </cols>
  <sheetData>
    <row r="1" spans="1:19" ht="14.5" customHeight="1" x14ac:dyDescent="0.35">
      <c r="A1" s="300"/>
      <c r="B1" s="300"/>
      <c r="C1" s="315" t="s">
        <v>2</v>
      </c>
      <c r="D1" s="315"/>
      <c r="E1" s="315"/>
      <c r="F1" s="315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</row>
    <row r="2" spans="1:19" ht="14.5" customHeight="1" x14ac:dyDescent="0.35">
      <c r="A2" s="300"/>
      <c r="B2" s="300"/>
      <c r="C2" s="315"/>
      <c r="D2" s="315"/>
      <c r="E2" s="315"/>
      <c r="F2" s="315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</row>
    <row r="3" spans="1:19" ht="19.5" customHeight="1" x14ac:dyDescent="0.35">
      <c r="A3" s="300"/>
      <c r="B3" s="300"/>
      <c r="C3" s="315"/>
      <c r="D3" s="315"/>
      <c r="E3" s="315"/>
      <c r="F3" s="315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</row>
    <row r="4" spans="1:19" ht="15" customHeight="1" x14ac:dyDescent="0.35">
      <c r="A4" s="306" t="s">
        <v>77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137"/>
      <c r="S4" s="209"/>
    </row>
    <row r="5" spans="1:19" ht="15" customHeight="1" x14ac:dyDescent="0.35">
      <c r="A5" s="306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209"/>
      <c r="S5" s="209"/>
    </row>
    <row r="6" spans="1:19" s="137" customFormat="1" ht="15" customHeight="1" x14ac:dyDescent="0.35">
      <c r="A6" s="136"/>
      <c r="B6" s="136"/>
      <c r="C6" s="136"/>
      <c r="D6" s="136"/>
      <c r="E6" s="136"/>
      <c r="F6" s="136"/>
    </row>
    <row r="7" spans="1:19" ht="15" customHeight="1" x14ac:dyDescent="0.35">
      <c r="A7" s="329" t="s">
        <v>73</v>
      </c>
      <c r="B7" s="329"/>
      <c r="C7" s="329"/>
      <c r="D7" s="329"/>
      <c r="E7" s="329"/>
      <c r="F7" s="329"/>
      <c r="H7" s="340" t="s">
        <v>70</v>
      </c>
      <c r="I7" s="340"/>
      <c r="J7" s="340"/>
      <c r="K7" s="340"/>
      <c r="L7" s="340"/>
      <c r="M7" s="340"/>
      <c r="N7" s="340"/>
      <c r="O7" s="340"/>
      <c r="P7" s="340"/>
      <c r="Q7" s="340"/>
      <c r="R7" s="160"/>
    </row>
    <row r="8" spans="1:19" ht="15" customHeight="1" thickBot="1" x14ac:dyDescent="0.4">
      <c r="A8" s="157"/>
      <c r="B8" s="157"/>
      <c r="C8" s="157"/>
      <c r="D8" s="157"/>
      <c r="E8" s="157"/>
      <c r="F8" s="157"/>
      <c r="G8" s="137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160"/>
    </row>
    <row r="9" spans="1:19" ht="15" customHeight="1" thickBot="1" x14ac:dyDescent="0.4">
      <c r="A9" s="331" t="s">
        <v>7</v>
      </c>
      <c r="B9" s="332"/>
      <c r="C9" s="337">
        <v>2019</v>
      </c>
      <c r="D9" s="338"/>
      <c r="E9" s="339"/>
      <c r="F9" s="136"/>
      <c r="H9" s="155" t="s">
        <v>57</v>
      </c>
      <c r="I9" s="156" t="s">
        <v>67</v>
      </c>
    </row>
    <row r="10" spans="1:19" ht="15" customHeight="1" x14ac:dyDescent="0.35">
      <c r="A10" s="333"/>
      <c r="B10" s="334"/>
      <c r="C10" s="344" t="s">
        <v>67</v>
      </c>
      <c r="D10" s="346" t="s">
        <v>68</v>
      </c>
      <c r="E10" s="344" t="s">
        <v>72</v>
      </c>
      <c r="F10" s="136"/>
      <c r="H10" s="150">
        <v>2015</v>
      </c>
      <c r="I10" s="151">
        <v>581</v>
      </c>
    </row>
    <row r="11" spans="1:19" ht="15" customHeight="1" thickBot="1" x14ac:dyDescent="0.4">
      <c r="A11" s="335"/>
      <c r="B11" s="336"/>
      <c r="C11" s="345"/>
      <c r="D11" s="347"/>
      <c r="E11" s="345"/>
      <c r="F11" s="136"/>
      <c r="H11" s="152">
        <v>2016</v>
      </c>
      <c r="I11" s="151">
        <v>581</v>
      </c>
    </row>
    <row r="12" spans="1:19" ht="15" customHeight="1" thickBot="1" x14ac:dyDescent="0.4">
      <c r="A12" s="188" t="s">
        <v>11</v>
      </c>
      <c r="B12" s="189"/>
      <c r="C12" s="166">
        <v>60</v>
      </c>
      <c r="D12" s="168">
        <v>6.11</v>
      </c>
      <c r="E12" s="174">
        <v>0.79020000000000001</v>
      </c>
      <c r="F12" s="136"/>
      <c r="H12" s="152">
        <v>2017</v>
      </c>
      <c r="I12" s="151">
        <v>581</v>
      </c>
    </row>
    <row r="13" spans="1:19" ht="15" customHeight="1" thickBot="1" x14ac:dyDescent="0.4">
      <c r="A13" s="190" t="s">
        <v>12</v>
      </c>
      <c r="B13" s="191"/>
      <c r="C13" s="170">
        <v>7</v>
      </c>
      <c r="D13" s="171">
        <v>3.3</v>
      </c>
      <c r="E13" s="175">
        <v>0.96160000000000001</v>
      </c>
      <c r="F13" s="136"/>
      <c r="H13" s="152">
        <v>2018</v>
      </c>
      <c r="I13" s="151">
        <v>581</v>
      </c>
    </row>
    <row r="14" spans="1:19" ht="15" customHeight="1" thickBot="1" x14ac:dyDescent="0.4">
      <c r="A14" s="192" t="s">
        <v>13</v>
      </c>
      <c r="B14" s="193"/>
      <c r="C14" s="170">
        <v>6</v>
      </c>
      <c r="D14" s="171">
        <v>3.43</v>
      </c>
      <c r="E14" s="175">
        <v>0.94379999999999997</v>
      </c>
      <c r="F14" s="136"/>
      <c r="H14" s="152">
        <v>2019</v>
      </c>
      <c r="I14" s="151">
        <v>611</v>
      </c>
    </row>
    <row r="15" spans="1:19" ht="15" customHeight="1" thickBot="1" x14ac:dyDescent="0.4">
      <c r="A15" s="194" t="s">
        <v>14</v>
      </c>
      <c r="B15" s="195"/>
      <c r="C15" s="170">
        <v>51</v>
      </c>
      <c r="D15" s="171">
        <v>5.53</v>
      </c>
      <c r="E15" s="174">
        <v>0.71750000000000003</v>
      </c>
      <c r="H15" s="152">
        <v>2020</v>
      </c>
      <c r="I15" s="151">
        <v>499</v>
      </c>
    </row>
    <row r="16" spans="1:19" ht="15" customHeight="1" thickBot="1" x14ac:dyDescent="0.4">
      <c r="A16" s="196" t="s">
        <v>15</v>
      </c>
      <c r="B16" s="197"/>
      <c r="C16" s="170">
        <v>5</v>
      </c>
      <c r="D16" s="171">
        <v>2.7</v>
      </c>
      <c r="E16" s="174">
        <v>0.75619999999999998</v>
      </c>
      <c r="F16" s="136"/>
      <c r="H16" s="153">
        <v>2021</v>
      </c>
      <c r="I16" s="154">
        <v>499</v>
      </c>
    </row>
    <row r="17" spans="1:17" ht="15" customHeight="1" thickBot="1" x14ac:dyDescent="0.4">
      <c r="A17" s="194" t="s">
        <v>16</v>
      </c>
      <c r="B17" s="195"/>
      <c r="C17" s="170">
        <v>40</v>
      </c>
      <c r="D17" s="171">
        <v>2.14</v>
      </c>
      <c r="E17" s="176">
        <v>0.34460000000000002</v>
      </c>
      <c r="F17" s="136"/>
      <c r="H17" s="86"/>
      <c r="I17" s="86"/>
    </row>
    <row r="18" spans="1:17" ht="15" customHeight="1" thickBot="1" x14ac:dyDescent="0.4">
      <c r="A18" s="198" t="s">
        <v>17</v>
      </c>
      <c r="B18" s="199"/>
      <c r="C18" s="170">
        <v>16</v>
      </c>
      <c r="D18" s="171">
        <v>13.9</v>
      </c>
      <c r="E18" s="176">
        <v>0.56759999999999999</v>
      </c>
      <c r="F18" s="136"/>
    </row>
    <row r="19" spans="1:17" ht="15" customHeight="1" thickBot="1" x14ac:dyDescent="0.4">
      <c r="A19" s="198" t="s">
        <v>18</v>
      </c>
      <c r="B19" s="199"/>
      <c r="C19" s="170">
        <v>6</v>
      </c>
      <c r="D19" s="171">
        <v>5.07</v>
      </c>
      <c r="E19" s="174">
        <v>0.63839999999999997</v>
      </c>
      <c r="F19" s="136"/>
    </row>
    <row r="20" spans="1:17" ht="15" customHeight="1" thickBot="1" x14ac:dyDescent="0.4">
      <c r="A20" s="196" t="s">
        <v>19</v>
      </c>
      <c r="B20" s="197"/>
      <c r="C20" s="170">
        <v>18</v>
      </c>
      <c r="D20" s="171">
        <v>4.2699999999999996</v>
      </c>
      <c r="E20" s="176">
        <v>0.46060000000000001</v>
      </c>
      <c r="F20" s="136"/>
    </row>
    <row r="21" spans="1:17" ht="15" customHeight="1" thickBot="1" x14ac:dyDescent="0.4">
      <c r="A21" s="200" t="s">
        <v>20</v>
      </c>
      <c r="B21" s="201"/>
      <c r="C21" s="170">
        <v>43</v>
      </c>
      <c r="D21" s="171">
        <v>4.03</v>
      </c>
      <c r="E21" s="176">
        <v>0.50319999999999998</v>
      </c>
      <c r="F21" s="136"/>
    </row>
    <row r="22" spans="1:17" ht="15" customHeight="1" thickBot="1" x14ac:dyDescent="0.4">
      <c r="A22" s="322" t="s">
        <v>21</v>
      </c>
      <c r="B22" s="323"/>
      <c r="C22" s="170">
        <v>39</v>
      </c>
      <c r="D22" s="171">
        <v>3.42</v>
      </c>
      <c r="E22" s="176">
        <v>0.54239999999999999</v>
      </c>
      <c r="F22" s="136"/>
      <c r="H22" s="207" t="s">
        <v>69</v>
      </c>
      <c r="I22" s="207"/>
      <c r="J22" s="208"/>
    </row>
    <row r="23" spans="1:17" ht="15" customHeight="1" thickBot="1" x14ac:dyDescent="0.4">
      <c r="A23" s="324" t="s">
        <v>22</v>
      </c>
      <c r="B23" s="325"/>
      <c r="C23" s="170">
        <v>4</v>
      </c>
      <c r="D23" s="171">
        <v>3.59</v>
      </c>
      <c r="E23" s="175">
        <v>0.87190000000000001</v>
      </c>
      <c r="F23" s="136"/>
      <c r="H23" s="86"/>
      <c r="I23" s="86"/>
      <c r="J23" s="148"/>
    </row>
    <row r="24" spans="1:17" ht="15" customHeight="1" thickBot="1" x14ac:dyDescent="0.4">
      <c r="A24" s="326" t="s">
        <v>23</v>
      </c>
      <c r="B24" s="327"/>
      <c r="C24" s="170">
        <v>8</v>
      </c>
      <c r="D24" s="171">
        <v>5.41</v>
      </c>
      <c r="E24" s="176">
        <v>0.54579999999999995</v>
      </c>
      <c r="F24" s="136"/>
      <c r="H24" s="329" t="s">
        <v>70</v>
      </c>
      <c r="I24" s="329"/>
      <c r="J24" s="329"/>
      <c r="K24" s="329"/>
      <c r="L24" s="329"/>
      <c r="M24" s="329"/>
      <c r="N24" s="329"/>
      <c r="O24" s="329"/>
      <c r="P24" s="329"/>
      <c r="Q24" s="127"/>
    </row>
    <row r="25" spans="1:17" ht="15" customHeight="1" thickBot="1" x14ac:dyDescent="0.4">
      <c r="A25" s="326" t="s">
        <v>24</v>
      </c>
      <c r="B25" s="327"/>
      <c r="C25" s="170">
        <v>36</v>
      </c>
      <c r="D25" s="171">
        <v>4.59</v>
      </c>
      <c r="E25" s="174">
        <v>0.76759999999999995</v>
      </c>
      <c r="H25" s="348"/>
      <c r="I25" s="348"/>
      <c r="J25" s="348"/>
      <c r="K25" s="348"/>
      <c r="L25" s="348"/>
      <c r="M25" s="348"/>
      <c r="N25" s="348"/>
      <c r="O25" s="348"/>
      <c r="P25" s="348"/>
    </row>
    <row r="26" spans="1:17" ht="15" customHeight="1" thickBot="1" x14ac:dyDescent="0.4">
      <c r="A26" s="322" t="s">
        <v>25</v>
      </c>
      <c r="B26" s="323"/>
      <c r="C26" s="170">
        <v>44</v>
      </c>
      <c r="D26" s="171">
        <v>3.43</v>
      </c>
      <c r="E26" s="176">
        <v>0.50249999999999995</v>
      </c>
      <c r="F26" s="164"/>
      <c r="H26" s="155" t="s">
        <v>57</v>
      </c>
      <c r="I26" s="156" t="s">
        <v>71</v>
      </c>
    </row>
    <row r="27" spans="1:17" ht="15" thickBot="1" x14ac:dyDescent="0.4">
      <c r="A27" s="324" t="s">
        <v>26</v>
      </c>
      <c r="B27" s="325"/>
      <c r="C27" s="170">
        <v>3</v>
      </c>
      <c r="D27" s="171">
        <v>2.83</v>
      </c>
      <c r="E27" s="181">
        <v>0.86760000000000004</v>
      </c>
      <c r="F27" s="161"/>
      <c r="H27" s="150">
        <v>2015</v>
      </c>
      <c r="I27" s="158">
        <v>0.67079999999999995</v>
      </c>
    </row>
    <row r="28" spans="1:17" ht="15" customHeight="1" thickBot="1" x14ac:dyDescent="0.4">
      <c r="A28" s="326" t="s">
        <v>27</v>
      </c>
      <c r="B28" s="327"/>
      <c r="C28" s="170">
        <v>16</v>
      </c>
      <c r="D28" s="171">
        <v>2.4700000000000002</v>
      </c>
      <c r="E28" s="176">
        <v>0.50080000000000002</v>
      </c>
      <c r="F28" s="9"/>
      <c r="H28" s="152">
        <v>2016</v>
      </c>
      <c r="I28" s="158">
        <v>0.6905</v>
      </c>
      <c r="K28" s="187"/>
      <c r="L28" s="187"/>
    </row>
    <row r="29" spans="1:17" ht="15" thickBot="1" x14ac:dyDescent="0.4">
      <c r="A29" s="326" t="s">
        <v>28</v>
      </c>
      <c r="B29" s="327"/>
      <c r="C29" s="170">
        <v>44</v>
      </c>
      <c r="D29" s="171">
        <v>8.31</v>
      </c>
      <c r="E29" s="174">
        <v>0.73809999999999998</v>
      </c>
      <c r="F29" s="9"/>
      <c r="H29" s="152">
        <v>2017</v>
      </c>
      <c r="I29" s="158">
        <v>0.68189999999999995</v>
      </c>
      <c r="K29" s="86"/>
      <c r="L29" s="87"/>
    </row>
    <row r="30" spans="1:17" ht="15" thickBot="1" x14ac:dyDescent="0.4">
      <c r="A30" s="326" t="s">
        <v>29</v>
      </c>
      <c r="B30" s="327"/>
      <c r="C30" s="170">
        <v>12</v>
      </c>
      <c r="D30" s="171">
        <v>15.65</v>
      </c>
      <c r="E30" s="176">
        <v>0.55500000000000005</v>
      </c>
      <c r="F30" s="9"/>
      <c r="H30" s="152">
        <v>2018</v>
      </c>
      <c r="I30" s="158">
        <v>0.64980000000000004</v>
      </c>
      <c r="K30" s="86"/>
      <c r="L30" s="87"/>
    </row>
    <row r="31" spans="1:17" ht="15" thickBot="1" x14ac:dyDescent="0.4">
      <c r="A31" s="326" t="s">
        <v>30</v>
      </c>
      <c r="B31" s="327"/>
      <c r="C31" s="170">
        <v>23</v>
      </c>
      <c r="D31" s="173">
        <v>6.96</v>
      </c>
      <c r="E31" s="181">
        <v>0.94669999999999999</v>
      </c>
      <c r="F31" s="9"/>
      <c r="H31" s="152">
        <v>2019</v>
      </c>
      <c r="I31" s="158">
        <v>0.63349999999999995</v>
      </c>
      <c r="K31" s="86"/>
      <c r="L31" s="87"/>
    </row>
    <row r="32" spans="1:17" ht="15" thickBot="1" x14ac:dyDescent="0.4">
      <c r="A32" s="341" t="s">
        <v>31</v>
      </c>
      <c r="B32" s="342"/>
      <c r="C32" s="172">
        <v>18</v>
      </c>
      <c r="D32" s="173">
        <v>3.51</v>
      </c>
      <c r="E32" s="182">
        <v>0.71509999999999996</v>
      </c>
      <c r="F32" s="9"/>
      <c r="H32" s="152">
        <v>2020</v>
      </c>
      <c r="I32" s="158">
        <v>0.50639999999999996</v>
      </c>
      <c r="K32" s="86"/>
      <c r="L32" s="87"/>
    </row>
    <row r="33" spans="1:17" ht="15" thickBot="1" x14ac:dyDescent="0.4">
      <c r="A33" s="147" t="s">
        <v>32</v>
      </c>
      <c r="B33" s="146"/>
      <c r="C33" s="167">
        <f>SUM(C12:C32)</f>
        <v>499</v>
      </c>
      <c r="D33" s="179">
        <v>5.1100000000000003</v>
      </c>
      <c r="E33" s="180" t="s">
        <v>129</v>
      </c>
      <c r="F33" s="9"/>
      <c r="H33" s="153">
        <v>2021</v>
      </c>
      <c r="I33" s="159">
        <v>0.47889999999999999</v>
      </c>
      <c r="K33" s="86"/>
      <c r="L33" s="87"/>
    </row>
    <row r="34" spans="1:17" x14ac:dyDescent="0.35">
      <c r="D34" s="169"/>
      <c r="E34" s="177"/>
      <c r="F34" s="9"/>
      <c r="H34" s="86"/>
      <c r="I34" s="87"/>
      <c r="K34" s="86"/>
      <c r="L34" s="87"/>
    </row>
    <row r="35" spans="1:17" x14ac:dyDescent="0.35">
      <c r="A35" s="183"/>
      <c r="B35" s="186" t="s">
        <v>76</v>
      </c>
      <c r="D35" s="169"/>
      <c r="E35" s="177"/>
      <c r="F35" s="9"/>
      <c r="K35" s="86"/>
      <c r="L35" s="87"/>
    </row>
    <row r="36" spans="1:17" x14ac:dyDescent="0.35">
      <c r="A36" s="184"/>
      <c r="B36" s="186" t="s">
        <v>74</v>
      </c>
      <c r="D36" s="169"/>
      <c r="E36" s="177"/>
      <c r="F36" s="9"/>
    </row>
    <row r="37" spans="1:17" x14ac:dyDescent="0.35">
      <c r="A37" s="185"/>
      <c r="B37" s="186" t="s">
        <v>75</v>
      </c>
      <c r="E37" s="178"/>
      <c r="F37" s="9"/>
      <c r="H37" s="330"/>
      <c r="I37" s="330"/>
      <c r="J37" s="330"/>
      <c r="K37" s="330"/>
      <c r="L37" s="330"/>
      <c r="M37" s="330"/>
      <c r="N37" s="330"/>
      <c r="O37" s="330"/>
      <c r="P37" s="330"/>
      <c r="Q37" s="330"/>
    </row>
    <row r="38" spans="1:17" x14ac:dyDescent="0.35">
      <c r="A38" s="328"/>
      <c r="B38" s="328"/>
      <c r="C38" s="162"/>
      <c r="D38" s="202"/>
      <c r="E38" s="177"/>
      <c r="F38" s="9"/>
    </row>
    <row r="39" spans="1:17" ht="60.5" customHeight="1" x14ac:dyDescent="0.35">
      <c r="A39" s="343" t="s">
        <v>130</v>
      </c>
      <c r="B39" s="343"/>
      <c r="C39" s="343"/>
      <c r="D39" s="343"/>
      <c r="E39" s="343"/>
      <c r="F39" s="9"/>
      <c r="H39" s="251" t="s">
        <v>69</v>
      </c>
      <c r="I39" s="251"/>
    </row>
    <row r="40" spans="1:17" x14ac:dyDescent="0.35">
      <c r="A40" s="328"/>
      <c r="B40" s="328"/>
      <c r="C40" s="162"/>
      <c r="D40" s="202"/>
      <c r="E40" s="177"/>
      <c r="F40" s="9"/>
    </row>
    <row r="41" spans="1:17" ht="15.5" x14ac:dyDescent="0.35">
      <c r="A41" s="328"/>
      <c r="B41" s="328"/>
      <c r="C41" s="162"/>
      <c r="D41" s="202"/>
      <c r="E41" s="177"/>
      <c r="F41" s="9"/>
      <c r="H41" s="329" t="s">
        <v>68</v>
      </c>
      <c r="I41" s="329"/>
      <c r="J41" s="329"/>
      <c r="K41" s="329"/>
      <c r="L41" s="329"/>
      <c r="M41" s="329"/>
      <c r="N41" s="329"/>
      <c r="O41" s="329"/>
      <c r="P41" s="329"/>
      <c r="Q41" s="127"/>
    </row>
    <row r="42" spans="1:17" ht="15" thickBot="1" x14ac:dyDescent="0.4">
      <c r="A42" s="328"/>
      <c r="B42" s="328"/>
      <c r="C42" s="162"/>
      <c r="D42" s="202"/>
      <c r="E42" s="177"/>
      <c r="F42" s="9"/>
    </row>
    <row r="43" spans="1:17" ht="15" thickBot="1" x14ac:dyDescent="0.4">
      <c r="A43" s="328"/>
      <c r="B43" s="328"/>
      <c r="C43" s="162"/>
      <c r="D43" s="202"/>
      <c r="E43" s="177"/>
      <c r="F43" s="9"/>
      <c r="H43" s="155" t="s">
        <v>57</v>
      </c>
      <c r="I43" s="156" t="s">
        <v>68</v>
      </c>
    </row>
    <row r="44" spans="1:17" x14ac:dyDescent="0.35">
      <c r="A44" s="328"/>
      <c r="B44" s="328"/>
      <c r="C44" s="162"/>
      <c r="D44" s="202"/>
      <c r="E44" s="177"/>
      <c r="F44" s="9"/>
      <c r="H44" s="150">
        <v>2015</v>
      </c>
      <c r="I44" s="210">
        <v>5.22</v>
      </c>
    </row>
    <row r="45" spans="1:17" x14ac:dyDescent="0.35">
      <c r="A45" s="328"/>
      <c r="B45" s="328"/>
      <c r="C45" s="162"/>
      <c r="D45" s="202"/>
      <c r="E45" s="177"/>
      <c r="F45" s="9"/>
      <c r="H45" s="152">
        <v>2016</v>
      </c>
      <c r="I45" s="210">
        <v>5.24</v>
      </c>
    </row>
    <row r="46" spans="1:17" x14ac:dyDescent="0.35">
      <c r="A46" s="328"/>
      <c r="B46" s="328"/>
      <c r="C46" s="162"/>
      <c r="D46" s="202"/>
      <c r="E46" s="177"/>
      <c r="F46" s="9"/>
      <c r="H46" s="152">
        <v>2017</v>
      </c>
      <c r="I46" s="210">
        <v>5.14</v>
      </c>
    </row>
    <row r="47" spans="1:17" x14ac:dyDescent="0.35">
      <c r="A47" s="328"/>
      <c r="B47" s="328"/>
      <c r="C47" s="162"/>
      <c r="D47" s="202"/>
      <c r="E47" s="177"/>
      <c r="F47" s="9"/>
      <c r="H47" s="152">
        <v>2018</v>
      </c>
      <c r="I47" s="210">
        <v>5.03</v>
      </c>
    </row>
    <row r="48" spans="1:17" x14ac:dyDescent="0.35">
      <c r="A48" s="328"/>
      <c r="B48" s="328"/>
      <c r="C48" s="162"/>
      <c r="D48" s="202"/>
      <c r="E48" s="177"/>
      <c r="F48" s="9"/>
      <c r="H48" s="152">
        <v>2019</v>
      </c>
      <c r="I48" s="210">
        <v>5.1100000000000003</v>
      </c>
    </row>
    <row r="49" spans="1:9" x14ac:dyDescent="0.35">
      <c r="A49" s="203"/>
      <c r="B49" s="163"/>
      <c r="C49" s="163"/>
      <c r="D49" s="204"/>
      <c r="E49" s="178"/>
      <c r="F49" s="163"/>
      <c r="H49" s="152">
        <v>2020</v>
      </c>
      <c r="I49" s="210">
        <v>5.57</v>
      </c>
    </row>
    <row r="50" spans="1:9" ht="15" thickBot="1" x14ac:dyDescent="0.4">
      <c r="A50" s="165"/>
      <c r="B50" s="165"/>
      <c r="C50" s="165"/>
      <c r="D50" s="202"/>
      <c r="E50" s="177"/>
      <c r="H50" s="153">
        <v>2021</v>
      </c>
      <c r="I50" s="211">
        <v>5.33</v>
      </c>
    </row>
    <row r="51" spans="1:9" x14ac:dyDescent="0.35">
      <c r="A51" s="165"/>
      <c r="B51" s="205"/>
      <c r="C51" s="165"/>
      <c r="D51" s="202"/>
      <c r="E51" s="177"/>
    </row>
    <row r="52" spans="1:9" x14ac:dyDescent="0.35">
      <c r="A52" s="165"/>
      <c r="B52" s="205"/>
      <c r="C52" s="165"/>
      <c r="D52" s="202"/>
      <c r="E52" s="177"/>
    </row>
    <row r="53" spans="1:9" x14ac:dyDescent="0.35">
      <c r="A53" s="165"/>
      <c r="B53" s="205"/>
      <c r="C53" s="165"/>
      <c r="D53" s="165"/>
      <c r="E53" s="178"/>
      <c r="H53" s="87"/>
    </row>
    <row r="54" spans="1:9" x14ac:dyDescent="0.35">
      <c r="H54" s="87"/>
    </row>
    <row r="55" spans="1:9" x14ac:dyDescent="0.35">
      <c r="H55" s="87"/>
    </row>
    <row r="56" spans="1:9" x14ac:dyDescent="0.35">
      <c r="H56" s="207" t="s">
        <v>69</v>
      </c>
      <c r="I56" s="207"/>
    </row>
    <row r="57" spans="1:9" x14ac:dyDescent="0.35">
      <c r="H57" s="87"/>
    </row>
    <row r="58" spans="1:9" x14ac:dyDescent="0.35">
      <c r="H58" s="87"/>
    </row>
    <row r="59" spans="1:9" x14ac:dyDescent="0.35">
      <c r="H59" s="87"/>
    </row>
  </sheetData>
  <mergeCells count="37">
    <mergeCell ref="H7:Q7"/>
    <mergeCell ref="A40:B40"/>
    <mergeCell ref="A41:B41"/>
    <mergeCell ref="A42:B42"/>
    <mergeCell ref="A43:B43"/>
    <mergeCell ref="A38:B38"/>
    <mergeCell ref="A28:B28"/>
    <mergeCell ref="A29:B29"/>
    <mergeCell ref="A30:B30"/>
    <mergeCell ref="A31:B31"/>
    <mergeCell ref="A32:B32"/>
    <mergeCell ref="A39:E39"/>
    <mergeCell ref="C10:C11"/>
    <mergeCell ref="D10:D11"/>
    <mergeCell ref="E10:E11"/>
    <mergeCell ref="H25:P25"/>
    <mergeCell ref="A46:B46"/>
    <mergeCell ref="A47:B47"/>
    <mergeCell ref="A48:B48"/>
    <mergeCell ref="A1:B3"/>
    <mergeCell ref="A7:F7"/>
    <mergeCell ref="A44:B44"/>
    <mergeCell ref="A45:B45"/>
    <mergeCell ref="C1:F3"/>
    <mergeCell ref="A4:Q5"/>
    <mergeCell ref="H37:Q37"/>
    <mergeCell ref="H24:P24"/>
    <mergeCell ref="H41:P41"/>
    <mergeCell ref="G1:Q3"/>
    <mergeCell ref="A27:B27"/>
    <mergeCell ref="A9:B11"/>
    <mergeCell ref="C9:E9"/>
    <mergeCell ref="A22:B22"/>
    <mergeCell ref="A23:B23"/>
    <mergeCell ref="A24:B24"/>
    <mergeCell ref="A25:B25"/>
    <mergeCell ref="A26:B2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zoomScale="70" zoomScaleNormal="70" workbookViewId="0">
      <selection activeCell="T21" sqref="T21"/>
    </sheetView>
  </sheetViews>
  <sheetFormatPr defaultRowHeight="14.5" x14ac:dyDescent="0.35"/>
  <cols>
    <col min="1" max="1" width="48.26953125" customWidth="1"/>
    <col min="2" max="4" width="11.6328125" customWidth="1"/>
    <col min="8" max="8" width="11" customWidth="1"/>
    <col min="9" max="11" width="10.6328125" customWidth="1"/>
    <col min="13" max="14" width="13.6328125" customWidth="1"/>
  </cols>
  <sheetData>
    <row r="1" spans="1:18" ht="14.5" customHeight="1" x14ac:dyDescent="0.35">
      <c r="A1" s="355" t="s">
        <v>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8" ht="14.5" customHeight="1" x14ac:dyDescent="0.35">
      <c r="A2" s="355"/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8" ht="21" customHeight="1" x14ac:dyDescent="0.35">
      <c r="A3" s="355"/>
      <c r="B3" s="300"/>
      <c r="C3" s="300"/>
      <c r="D3" s="300"/>
      <c r="E3" s="300"/>
      <c r="F3" s="300"/>
      <c r="G3" s="300"/>
      <c r="H3" s="300"/>
      <c r="I3" s="300"/>
      <c r="J3" s="300"/>
      <c r="K3" s="300"/>
    </row>
    <row r="4" spans="1:18" ht="14.5" customHeight="1" x14ac:dyDescent="0.35">
      <c r="A4" s="306" t="s">
        <v>78</v>
      </c>
      <c r="B4" s="306"/>
      <c r="C4" s="306"/>
      <c r="D4" s="306"/>
      <c r="E4" s="306"/>
      <c r="F4" s="352"/>
      <c r="G4" s="352"/>
      <c r="H4" s="352"/>
      <c r="I4" s="352"/>
      <c r="J4" s="352"/>
      <c r="K4" s="352"/>
      <c r="L4" s="209"/>
      <c r="M4" s="209"/>
      <c r="N4" s="209"/>
      <c r="O4" s="209"/>
      <c r="P4" s="209"/>
      <c r="Q4" s="209"/>
      <c r="R4" s="209"/>
    </row>
    <row r="5" spans="1:18" ht="14.5" customHeight="1" x14ac:dyDescent="0.35">
      <c r="A5" s="306"/>
      <c r="B5" s="306"/>
      <c r="C5" s="306"/>
      <c r="D5" s="306"/>
      <c r="E5" s="306"/>
      <c r="F5" s="352"/>
      <c r="G5" s="352"/>
      <c r="H5" s="352"/>
      <c r="I5" s="352"/>
      <c r="J5" s="352"/>
      <c r="K5" s="352"/>
      <c r="L5" s="209"/>
      <c r="M5" s="209"/>
      <c r="N5" s="209"/>
      <c r="O5" s="209"/>
      <c r="P5" s="209"/>
      <c r="Q5" s="209"/>
      <c r="R5" s="209"/>
    </row>
    <row r="6" spans="1:18" ht="15" thickBot="1" x14ac:dyDescent="0.4"/>
    <row r="7" spans="1:18" ht="30" customHeight="1" thickBot="1" x14ac:dyDescent="0.4">
      <c r="A7" s="220" t="s">
        <v>7</v>
      </c>
      <c r="B7" s="219" t="s">
        <v>79</v>
      </c>
      <c r="C7" s="229" t="s">
        <v>80</v>
      </c>
      <c r="D7" s="230" t="s">
        <v>111</v>
      </c>
      <c r="E7" s="221" t="s">
        <v>81</v>
      </c>
      <c r="G7" s="234" t="s">
        <v>107</v>
      </c>
      <c r="H7" s="235"/>
      <c r="I7" s="356" t="s">
        <v>134</v>
      </c>
      <c r="J7" s="357"/>
      <c r="K7" s="212" t="s">
        <v>110</v>
      </c>
      <c r="M7" s="331" t="s">
        <v>7</v>
      </c>
      <c r="N7" s="332"/>
      <c r="O7" s="337">
        <v>2050</v>
      </c>
      <c r="P7" s="338"/>
      <c r="Q7" s="339"/>
    </row>
    <row r="8" spans="1:18" ht="18" customHeight="1" thickBot="1" x14ac:dyDescent="0.4">
      <c r="A8" s="231" t="s">
        <v>96</v>
      </c>
      <c r="B8" s="213">
        <v>42</v>
      </c>
      <c r="C8" s="213">
        <v>46</v>
      </c>
      <c r="D8" s="214">
        <v>37</v>
      </c>
      <c r="E8" s="222">
        <f t="shared" ref="E8:E33" si="0">D8-C8</f>
        <v>-9</v>
      </c>
      <c r="G8" s="353" t="s">
        <v>108</v>
      </c>
      <c r="H8" s="354"/>
      <c r="I8" s="236">
        <f>B8+B11+B13+B16+B17+B19+B21+B22+B24+B26+B28+B29+B30+B31</f>
        <v>473</v>
      </c>
      <c r="J8" s="237">
        <f>C8+C11+C13+C16+C17+C19+C21+C22+C24+C26+C28+C29+C30+C31</f>
        <v>387</v>
      </c>
      <c r="K8" s="236">
        <f>D8+D11+D13+D16+D17+D19+D21+D22+D24+D26+D28+D29+D30+D31</f>
        <v>378</v>
      </c>
      <c r="M8" s="333"/>
      <c r="N8" s="334"/>
      <c r="O8" s="344" t="s">
        <v>67</v>
      </c>
      <c r="P8" s="344" t="s">
        <v>135</v>
      </c>
      <c r="Q8" s="344" t="s">
        <v>72</v>
      </c>
    </row>
    <row r="9" spans="1:18" ht="18" customHeight="1" thickBot="1" x14ac:dyDescent="0.4">
      <c r="A9" s="232" t="s">
        <v>82</v>
      </c>
      <c r="B9" s="215">
        <v>7</v>
      </c>
      <c r="C9" s="215">
        <v>7</v>
      </c>
      <c r="D9" s="216">
        <v>8</v>
      </c>
      <c r="E9" s="223">
        <f t="shared" si="0"/>
        <v>1</v>
      </c>
      <c r="G9" s="353" t="s">
        <v>109</v>
      </c>
      <c r="H9" s="354"/>
      <c r="I9" s="145">
        <f>B9+B10+B12+B14+B15+B18+B20+B23+B25+B27+B32</f>
        <v>40</v>
      </c>
      <c r="J9" s="145">
        <f>C9+C10+C12+C14+C15+C18+C20+C23+C25+C27+C32</f>
        <v>46</v>
      </c>
      <c r="K9" s="145">
        <f>D9+D10+D12+D14+D15+D18+D20+D23+D25+D27+D32</f>
        <v>74</v>
      </c>
      <c r="M9" s="335"/>
      <c r="N9" s="336"/>
      <c r="O9" s="345"/>
      <c r="P9" s="345"/>
      <c r="Q9" s="351"/>
    </row>
    <row r="10" spans="1:18" ht="18" customHeight="1" thickBot="1" x14ac:dyDescent="0.4">
      <c r="A10" s="232" t="s">
        <v>13</v>
      </c>
      <c r="B10" s="215">
        <v>6</v>
      </c>
      <c r="C10" s="215">
        <v>6</v>
      </c>
      <c r="D10" s="216">
        <v>6</v>
      </c>
      <c r="E10" s="223">
        <f t="shared" si="0"/>
        <v>0</v>
      </c>
      <c r="G10" s="353" t="s">
        <v>95</v>
      </c>
      <c r="H10" s="354"/>
      <c r="I10" s="238">
        <f>I8+I9</f>
        <v>513</v>
      </c>
      <c r="J10" s="238">
        <f>J8+J9</f>
        <v>433</v>
      </c>
      <c r="K10" s="252">
        <f>K8+K9</f>
        <v>452</v>
      </c>
      <c r="M10" s="188" t="s">
        <v>11</v>
      </c>
      <c r="N10" s="189"/>
      <c r="O10" s="290">
        <v>33</v>
      </c>
      <c r="P10" s="293">
        <v>2237.2597515597358</v>
      </c>
      <c r="Q10" s="297">
        <f t="shared" ref="Q10:Q30" si="1">(P10*5)/($O10*365)</f>
        <v>0.92870890475705092</v>
      </c>
    </row>
    <row r="11" spans="1:18" ht="18" customHeight="1" thickBot="1" x14ac:dyDescent="0.4">
      <c r="A11" s="232" t="s">
        <v>97</v>
      </c>
      <c r="B11" s="215">
        <v>43</v>
      </c>
      <c r="C11" s="215">
        <v>43</v>
      </c>
      <c r="D11" s="216">
        <v>34</v>
      </c>
      <c r="E11" s="223">
        <f t="shared" si="0"/>
        <v>-9</v>
      </c>
      <c r="M11" s="190" t="s">
        <v>12</v>
      </c>
      <c r="N11" s="191"/>
      <c r="O11" s="290">
        <v>7</v>
      </c>
      <c r="P11" s="294">
        <v>426.71473084341358</v>
      </c>
      <c r="Q11" s="297">
        <f t="shared" si="1"/>
        <v>0.83505818168965484</v>
      </c>
    </row>
    <row r="12" spans="1:18" ht="18" customHeight="1" thickBot="1" x14ac:dyDescent="0.4">
      <c r="A12" s="232" t="s">
        <v>83</v>
      </c>
      <c r="B12" s="215">
        <v>5</v>
      </c>
      <c r="C12" s="215">
        <v>5</v>
      </c>
      <c r="D12" s="216">
        <v>6</v>
      </c>
      <c r="E12" s="223">
        <f t="shared" si="0"/>
        <v>1</v>
      </c>
      <c r="G12" s="234" t="s">
        <v>107</v>
      </c>
      <c r="H12" s="235"/>
      <c r="I12" s="284">
        <v>2019</v>
      </c>
      <c r="J12" s="284">
        <v>2021</v>
      </c>
      <c r="K12" s="286">
        <v>2050</v>
      </c>
      <c r="M12" s="192" t="s">
        <v>13</v>
      </c>
      <c r="N12" s="193"/>
      <c r="O12" s="290">
        <v>5</v>
      </c>
      <c r="P12" s="294">
        <v>315.86125843469057</v>
      </c>
      <c r="Q12" s="297">
        <f t="shared" si="1"/>
        <v>0.86537331077997415</v>
      </c>
    </row>
    <row r="13" spans="1:18" ht="18" customHeight="1" thickBot="1" x14ac:dyDescent="0.4">
      <c r="A13" s="232" t="s">
        <v>98</v>
      </c>
      <c r="B13" s="215">
        <v>40</v>
      </c>
      <c r="C13" s="215">
        <v>27</v>
      </c>
      <c r="D13" s="216">
        <v>30</v>
      </c>
      <c r="E13" s="223">
        <f t="shared" si="0"/>
        <v>3</v>
      </c>
      <c r="G13" s="353" t="s">
        <v>67</v>
      </c>
      <c r="H13" s="354"/>
      <c r="I13" s="236">
        <v>611</v>
      </c>
      <c r="J13" s="236">
        <v>499</v>
      </c>
      <c r="K13" s="237">
        <v>452</v>
      </c>
      <c r="M13" s="242" t="s">
        <v>14</v>
      </c>
      <c r="N13" s="243"/>
      <c r="O13" s="290">
        <v>28</v>
      </c>
      <c r="P13" s="294">
        <v>1738.2189973412374</v>
      </c>
      <c r="Q13" s="297">
        <f t="shared" si="1"/>
        <v>0.85040068363074228</v>
      </c>
    </row>
    <row r="14" spans="1:18" ht="18" customHeight="1" thickBot="1" x14ac:dyDescent="0.4">
      <c r="A14" s="232" t="s">
        <v>84</v>
      </c>
      <c r="B14" s="215">
        <v>16</v>
      </c>
      <c r="C14" s="215">
        <v>14</v>
      </c>
      <c r="D14" s="216">
        <v>16</v>
      </c>
      <c r="E14" s="223">
        <f t="shared" si="0"/>
        <v>2</v>
      </c>
      <c r="G14" s="353" t="s">
        <v>131</v>
      </c>
      <c r="H14" s="354"/>
      <c r="I14" s="236">
        <v>489</v>
      </c>
      <c r="J14" s="236">
        <v>420</v>
      </c>
      <c r="K14" s="237">
        <v>369</v>
      </c>
      <c r="M14" s="240" t="s">
        <v>15</v>
      </c>
      <c r="N14" s="241"/>
      <c r="O14" s="290">
        <v>6</v>
      </c>
      <c r="P14" s="294">
        <v>351.28509068389872</v>
      </c>
      <c r="Q14" s="297">
        <f t="shared" si="1"/>
        <v>0.80202075498607017</v>
      </c>
    </row>
    <row r="15" spans="1:18" ht="18" customHeight="1" thickBot="1" x14ac:dyDescent="0.4">
      <c r="A15" s="232" t="s">
        <v>85</v>
      </c>
      <c r="B15" s="215">
        <v>6</v>
      </c>
      <c r="C15" s="215">
        <v>6</v>
      </c>
      <c r="D15" s="216">
        <v>6</v>
      </c>
      <c r="E15" s="223">
        <f t="shared" si="0"/>
        <v>0</v>
      </c>
      <c r="G15" s="282" t="s">
        <v>132</v>
      </c>
      <c r="H15" s="283"/>
      <c r="I15" s="145">
        <v>36</v>
      </c>
      <c r="J15" s="145">
        <v>36</v>
      </c>
      <c r="K15" s="285">
        <v>52</v>
      </c>
      <c r="M15" s="242" t="s">
        <v>16</v>
      </c>
      <c r="N15" s="243"/>
      <c r="O15" s="290">
        <v>26</v>
      </c>
      <c r="P15" s="294">
        <v>1144.1424207494222</v>
      </c>
      <c r="Q15" s="298">
        <f t="shared" si="1"/>
        <v>0.60281476330317285</v>
      </c>
    </row>
    <row r="16" spans="1:18" ht="18" customHeight="1" thickBot="1" x14ac:dyDescent="0.4">
      <c r="A16" s="232" t="s">
        <v>101</v>
      </c>
      <c r="B16" s="215">
        <v>18</v>
      </c>
      <c r="C16" s="215">
        <v>15</v>
      </c>
      <c r="D16" s="216">
        <v>17</v>
      </c>
      <c r="E16" s="223">
        <f t="shared" si="0"/>
        <v>2</v>
      </c>
      <c r="G16" s="282" t="s">
        <v>133</v>
      </c>
      <c r="H16" s="283"/>
      <c r="I16" s="287">
        <v>19</v>
      </c>
      <c r="J16" s="287">
        <v>19</v>
      </c>
      <c r="K16" s="288">
        <v>22</v>
      </c>
      <c r="M16" s="198" t="s">
        <v>17</v>
      </c>
      <c r="N16" s="199"/>
      <c r="O16" s="290">
        <v>10</v>
      </c>
      <c r="P16" s="294">
        <v>369.93801083665602</v>
      </c>
      <c r="Q16" s="299">
        <f t="shared" si="1"/>
        <v>0.5067643984063781</v>
      </c>
    </row>
    <row r="17" spans="1:17" ht="18" customHeight="1" x14ac:dyDescent="0.35">
      <c r="A17" s="232" t="s">
        <v>99</v>
      </c>
      <c r="B17" s="215">
        <v>48</v>
      </c>
      <c r="C17" s="215">
        <v>36</v>
      </c>
      <c r="D17" s="216">
        <v>35</v>
      </c>
      <c r="E17" s="223">
        <f t="shared" si="0"/>
        <v>-1</v>
      </c>
      <c r="M17" s="198" t="s">
        <v>18</v>
      </c>
      <c r="N17" s="199"/>
      <c r="O17" s="290">
        <v>6</v>
      </c>
      <c r="P17" s="294">
        <v>334.84745429688525</v>
      </c>
      <c r="Q17" s="298">
        <f t="shared" si="1"/>
        <v>0.76449190478740925</v>
      </c>
    </row>
    <row r="18" spans="1:17" ht="18" customHeight="1" x14ac:dyDescent="0.35">
      <c r="A18" s="232" t="s">
        <v>86</v>
      </c>
      <c r="B18" s="215">
        <v>0</v>
      </c>
      <c r="C18" s="215">
        <v>0</v>
      </c>
      <c r="D18" s="216">
        <v>8</v>
      </c>
      <c r="E18" s="223">
        <f t="shared" si="0"/>
        <v>8</v>
      </c>
      <c r="M18" s="240" t="s">
        <v>19</v>
      </c>
      <c r="N18" s="241"/>
      <c r="O18" s="290">
        <v>15</v>
      </c>
      <c r="P18" s="294">
        <v>988.76682961896449</v>
      </c>
      <c r="Q18" s="297">
        <f t="shared" si="1"/>
        <v>0.90298340604471639</v>
      </c>
    </row>
    <row r="19" spans="1:17" ht="18" customHeight="1" x14ac:dyDescent="0.35">
      <c r="A19" s="232" t="s">
        <v>100</v>
      </c>
      <c r="B19" s="215">
        <v>56</v>
      </c>
      <c r="C19" s="215">
        <v>33</v>
      </c>
      <c r="D19" s="216">
        <v>34</v>
      </c>
      <c r="E19" s="223">
        <f t="shared" si="0"/>
        <v>1</v>
      </c>
      <c r="M19" s="244" t="s">
        <v>20</v>
      </c>
      <c r="N19" s="245"/>
      <c r="O19" s="290">
        <v>36</v>
      </c>
      <c r="P19" s="294">
        <v>2164.6578556191516</v>
      </c>
      <c r="Q19" s="297">
        <f t="shared" si="1"/>
        <v>0.82369020381246261</v>
      </c>
    </row>
    <row r="20" spans="1:17" ht="18" customHeight="1" x14ac:dyDescent="0.35">
      <c r="A20" s="232" t="s">
        <v>87</v>
      </c>
      <c r="B20" s="215">
        <v>0</v>
      </c>
      <c r="C20" s="215">
        <v>4</v>
      </c>
      <c r="D20" s="216">
        <v>6</v>
      </c>
      <c r="E20" s="223">
        <f t="shared" si="0"/>
        <v>2</v>
      </c>
      <c r="M20" s="322" t="s">
        <v>21</v>
      </c>
      <c r="N20" s="323"/>
      <c r="O20" s="290">
        <v>28</v>
      </c>
      <c r="P20" s="294">
        <v>1774.3814232687041</v>
      </c>
      <c r="Q20" s="297">
        <f t="shared" si="1"/>
        <v>0.86809267283204694</v>
      </c>
    </row>
    <row r="21" spans="1:17" ht="18" customHeight="1" x14ac:dyDescent="0.35">
      <c r="A21" s="232" t="s">
        <v>88</v>
      </c>
      <c r="B21" s="215">
        <v>8</v>
      </c>
      <c r="C21" s="215">
        <v>8</v>
      </c>
      <c r="D21" s="216">
        <v>8</v>
      </c>
      <c r="E21" s="223">
        <f t="shared" si="0"/>
        <v>0</v>
      </c>
      <c r="M21" s="324" t="s">
        <v>22</v>
      </c>
      <c r="N21" s="325"/>
      <c r="O21" s="290">
        <v>5</v>
      </c>
      <c r="P21" s="294">
        <v>295</v>
      </c>
      <c r="Q21" s="297">
        <f t="shared" si="1"/>
        <v>0.80821917808219179</v>
      </c>
    </row>
    <row r="22" spans="1:17" ht="18" customHeight="1" x14ac:dyDescent="0.35">
      <c r="A22" s="232" t="s">
        <v>102</v>
      </c>
      <c r="B22" s="215">
        <v>40</v>
      </c>
      <c r="C22" s="215">
        <v>33</v>
      </c>
      <c r="D22" s="216">
        <v>29</v>
      </c>
      <c r="E22" s="223">
        <f t="shared" si="0"/>
        <v>-4</v>
      </c>
      <c r="M22" s="326" t="s">
        <v>23</v>
      </c>
      <c r="N22" s="327"/>
      <c r="O22" s="290">
        <v>7</v>
      </c>
      <c r="P22" s="294">
        <v>409.88804336507974</v>
      </c>
      <c r="Q22" s="297">
        <f t="shared" si="1"/>
        <v>0.80212924337588987</v>
      </c>
    </row>
    <row r="23" spans="1:17" ht="18" customHeight="1" x14ac:dyDescent="0.35">
      <c r="A23" s="232" t="s">
        <v>89</v>
      </c>
      <c r="B23" s="215">
        <v>0</v>
      </c>
      <c r="C23" s="215">
        <v>0</v>
      </c>
      <c r="D23" s="216">
        <v>5</v>
      </c>
      <c r="E23" s="223">
        <f t="shared" si="0"/>
        <v>5</v>
      </c>
      <c r="M23" s="326" t="s">
        <v>24</v>
      </c>
      <c r="N23" s="327"/>
      <c r="O23" s="290">
        <v>27</v>
      </c>
      <c r="P23" s="294">
        <v>1596.4371403921173</v>
      </c>
      <c r="Q23" s="297">
        <f t="shared" si="1"/>
        <v>0.80996303419184035</v>
      </c>
    </row>
    <row r="24" spans="1:17" ht="18" customHeight="1" x14ac:dyDescent="0.35">
      <c r="A24" s="232" t="s">
        <v>90</v>
      </c>
      <c r="B24" s="215">
        <v>51</v>
      </c>
      <c r="C24" s="215">
        <v>33</v>
      </c>
      <c r="D24" s="216">
        <v>29</v>
      </c>
      <c r="E24" s="223">
        <f t="shared" si="0"/>
        <v>-4</v>
      </c>
      <c r="M24" s="322" t="s">
        <v>25</v>
      </c>
      <c r="N24" s="323"/>
      <c r="O24" s="290">
        <v>24</v>
      </c>
      <c r="P24" s="294">
        <v>1485.0052803464896</v>
      </c>
      <c r="Q24" s="297">
        <f t="shared" si="1"/>
        <v>0.84760575362242552</v>
      </c>
    </row>
    <row r="25" spans="1:17" ht="18" customHeight="1" x14ac:dyDescent="0.35">
      <c r="A25" s="232" t="s">
        <v>91</v>
      </c>
      <c r="B25" s="215">
        <v>0</v>
      </c>
      <c r="C25" s="215">
        <v>4</v>
      </c>
      <c r="D25" s="216">
        <v>5</v>
      </c>
      <c r="E25" s="223">
        <f t="shared" si="0"/>
        <v>1</v>
      </c>
      <c r="M25" s="324" t="s">
        <v>26</v>
      </c>
      <c r="N25" s="325"/>
      <c r="O25" s="290">
        <v>4</v>
      </c>
      <c r="P25" s="294">
        <v>233.90882924271872</v>
      </c>
      <c r="Q25" s="297">
        <f t="shared" si="1"/>
        <v>0.80105763439287236</v>
      </c>
    </row>
    <row r="26" spans="1:17" ht="18" customHeight="1" x14ac:dyDescent="0.35">
      <c r="A26" s="232" t="s">
        <v>92</v>
      </c>
      <c r="B26" s="215">
        <v>30</v>
      </c>
      <c r="C26" s="215">
        <v>16</v>
      </c>
      <c r="D26" s="216">
        <v>24</v>
      </c>
      <c r="E26" s="223">
        <f t="shared" si="0"/>
        <v>8</v>
      </c>
      <c r="M26" s="326" t="s">
        <v>27</v>
      </c>
      <c r="N26" s="327"/>
      <c r="O26" s="290">
        <v>19</v>
      </c>
      <c r="P26" s="294">
        <v>1151.8029155943982</v>
      </c>
      <c r="Q26" s="297">
        <f t="shared" si="1"/>
        <v>0.83042748060158489</v>
      </c>
    </row>
    <row r="27" spans="1:17" ht="18" customHeight="1" x14ac:dyDescent="0.35">
      <c r="A27" s="232" t="s">
        <v>93</v>
      </c>
      <c r="B27" s="215">
        <v>0</v>
      </c>
      <c r="C27" s="215">
        <v>0</v>
      </c>
      <c r="D27" s="216">
        <v>3</v>
      </c>
      <c r="E27" s="223">
        <f t="shared" si="0"/>
        <v>3</v>
      </c>
      <c r="M27" s="326" t="s">
        <v>28</v>
      </c>
      <c r="N27" s="327"/>
      <c r="O27" s="290">
        <v>34</v>
      </c>
      <c r="P27" s="294">
        <v>2094.0922975949793</v>
      </c>
      <c r="Q27" s="297">
        <f t="shared" si="1"/>
        <v>0.84371164286663147</v>
      </c>
    </row>
    <row r="28" spans="1:17" ht="18" customHeight="1" x14ac:dyDescent="0.35">
      <c r="A28" s="232" t="s">
        <v>103</v>
      </c>
      <c r="B28" s="215">
        <v>44</v>
      </c>
      <c r="C28" s="215">
        <v>44</v>
      </c>
      <c r="D28" s="216">
        <v>44</v>
      </c>
      <c r="E28" s="223">
        <f t="shared" si="0"/>
        <v>0</v>
      </c>
      <c r="M28" s="326" t="s">
        <v>29</v>
      </c>
      <c r="N28" s="327"/>
      <c r="O28" s="290">
        <v>9</v>
      </c>
      <c r="P28" s="294">
        <v>433.1678797940661</v>
      </c>
      <c r="Q28" s="298">
        <f t="shared" si="1"/>
        <v>0.65931184139127252</v>
      </c>
    </row>
    <row r="29" spans="1:17" ht="18" customHeight="1" x14ac:dyDescent="0.35">
      <c r="A29" s="232" t="s">
        <v>104</v>
      </c>
      <c r="B29" s="215">
        <v>12</v>
      </c>
      <c r="C29" s="215">
        <v>12</v>
      </c>
      <c r="D29" s="216">
        <v>12</v>
      </c>
      <c r="E29" s="223">
        <f t="shared" si="0"/>
        <v>0</v>
      </c>
      <c r="M29" s="326" t="s">
        <v>30</v>
      </c>
      <c r="N29" s="327"/>
      <c r="O29" s="290">
        <v>19</v>
      </c>
      <c r="P29" s="295">
        <v>1176.6197205678322</v>
      </c>
      <c r="Q29" s="297">
        <f t="shared" si="1"/>
        <v>0.848319913891732</v>
      </c>
    </row>
    <row r="30" spans="1:17" ht="18" customHeight="1" thickBot="1" x14ac:dyDescent="0.4">
      <c r="A30" s="232" t="s">
        <v>105</v>
      </c>
      <c r="B30" s="215">
        <v>23</v>
      </c>
      <c r="C30" s="215">
        <v>23</v>
      </c>
      <c r="D30" s="216">
        <v>23</v>
      </c>
      <c r="E30" s="223">
        <f t="shared" si="0"/>
        <v>0</v>
      </c>
      <c r="M30" s="341" t="s">
        <v>31</v>
      </c>
      <c r="N30" s="342"/>
      <c r="O30" s="291">
        <v>21</v>
      </c>
      <c r="P30" s="295">
        <v>1334.300102356648</v>
      </c>
      <c r="Q30" s="297">
        <f t="shared" si="1"/>
        <v>0.8703849330441279</v>
      </c>
    </row>
    <row r="31" spans="1:17" ht="18" customHeight="1" thickBot="1" x14ac:dyDescent="0.4">
      <c r="A31" s="232" t="s">
        <v>106</v>
      </c>
      <c r="B31" s="215">
        <v>18</v>
      </c>
      <c r="C31" s="215">
        <v>18</v>
      </c>
      <c r="D31" s="216">
        <v>22</v>
      </c>
      <c r="E31" s="223">
        <f t="shared" si="0"/>
        <v>4</v>
      </c>
      <c r="M31" s="349" t="s">
        <v>32</v>
      </c>
      <c r="N31" s="350"/>
      <c r="O31" s="292">
        <f>SUM(O10:O30)</f>
        <v>369</v>
      </c>
      <c r="P31" s="289">
        <v>22056.296032507085</v>
      </c>
      <c r="Q31" s="296">
        <f>AVERAGE(Q10:Q30)</f>
        <v>0.80340618288048793</v>
      </c>
    </row>
    <row r="32" spans="1:17" ht="18" customHeight="1" thickBot="1" x14ac:dyDescent="0.4">
      <c r="A32" s="233" t="s">
        <v>94</v>
      </c>
      <c r="B32" s="217">
        <v>0</v>
      </c>
      <c r="C32" s="217">
        <v>0</v>
      </c>
      <c r="D32" s="218">
        <v>5</v>
      </c>
      <c r="E32" s="224">
        <f t="shared" si="0"/>
        <v>5</v>
      </c>
      <c r="P32" s="169"/>
      <c r="Q32" s="177"/>
    </row>
    <row r="33" spans="1:17" ht="18" customHeight="1" thickBot="1" x14ac:dyDescent="0.4">
      <c r="A33" s="225" t="s">
        <v>95</v>
      </c>
      <c r="B33" s="226">
        <f>SUM(B8:B32)</f>
        <v>513</v>
      </c>
      <c r="C33" s="226">
        <f>SUM(C8:C32)</f>
        <v>433</v>
      </c>
      <c r="D33" s="227">
        <f>SUM(D8:D32)</f>
        <v>452</v>
      </c>
      <c r="E33" s="228">
        <f t="shared" si="0"/>
        <v>19</v>
      </c>
      <c r="M33" s="183"/>
      <c r="N33" s="186" t="s">
        <v>76</v>
      </c>
      <c r="P33" s="169"/>
      <c r="Q33" s="177"/>
    </row>
    <row r="34" spans="1:17" x14ac:dyDescent="0.35">
      <c r="M34" s="184"/>
      <c r="N34" s="186" t="s">
        <v>74</v>
      </c>
      <c r="P34" s="169"/>
      <c r="Q34" s="177"/>
    </row>
    <row r="35" spans="1:17" x14ac:dyDescent="0.35">
      <c r="M35" s="185"/>
      <c r="N35" s="186" t="s">
        <v>75</v>
      </c>
      <c r="Q35" s="178"/>
    </row>
    <row r="36" spans="1:17" x14ac:dyDescent="0.35">
      <c r="M36" s="328"/>
      <c r="N36" s="328"/>
      <c r="O36" s="162"/>
      <c r="P36" s="202"/>
      <c r="Q36" s="177"/>
    </row>
  </sheetData>
  <mergeCells count="28">
    <mergeCell ref="F4:K5"/>
    <mergeCell ref="G13:H13"/>
    <mergeCell ref="G14:H14"/>
    <mergeCell ref="A1:A3"/>
    <mergeCell ref="A4:E5"/>
    <mergeCell ref="B1:K3"/>
    <mergeCell ref="G8:H8"/>
    <mergeCell ref="G9:H9"/>
    <mergeCell ref="I7:J7"/>
    <mergeCell ref="G10:H10"/>
    <mergeCell ref="M7:N9"/>
    <mergeCell ref="O7:Q7"/>
    <mergeCell ref="O8:O9"/>
    <mergeCell ref="P8:P9"/>
    <mergeCell ref="Q8:Q9"/>
    <mergeCell ref="M20:N20"/>
    <mergeCell ref="M21:N21"/>
    <mergeCell ref="M22:N22"/>
    <mergeCell ref="M23:N23"/>
    <mergeCell ref="M24:N24"/>
    <mergeCell ref="M30:N30"/>
    <mergeCell ref="M36:N36"/>
    <mergeCell ref="M31:N31"/>
    <mergeCell ref="M25:N25"/>
    <mergeCell ref="M26:N26"/>
    <mergeCell ref="M27:N27"/>
    <mergeCell ref="M28:N28"/>
    <mergeCell ref="M29:N2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2" sqref="J12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Krycí list</vt:lpstr>
      <vt:lpstr>Metodológia</vt:lpstr>
      <vt:lpstr>Status quo+Base Case</vt:lpstr>
      <vt:lpstr>Rekonštrukcia</vt:lpstr>
      <vt:lpstr>Lôžkový fond 1</vt:lpstr>
      <vt:lpstr>Lôžkový fond 2</vt:lpstr>
      <vt:lpstr>Koniec</vt:lpstr>
    </vt:vector>
  </TitlesOfParts>
  <Company>FLAW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dufalova</dc:creator>
  <cp:lastModifiedBy>dufalova</cp:lastModifiedBy>
  <dcterms:created xsi:type="dcterms:W3CDTF">2022-12-09T20:08:28Z</dcterms:created>
  <dcterms:modified xsi:type="dcterms:W3CDTF">2023-04-12T12:41:20Z</dcterms:modified>
</cp:coreProperties>
</file>