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ufalova\Desktop\PROJEKTY\Projekty STANO\Nemocnica Poprad\FINAL SUBORY\PO UHP 2\"/>
    </mc:Choice>
  </mc:AlternateContent>
  <bookViews>
    <workbookView xWindow="0" yWindow="0" windowWidth="19200" windowHeight="6540" activeTab="4"/>
  </bookViews>
  <sheets>
    <sheet name="Krycí list" sheetId="7" r:id="rId1"/>
    <sheet name="Sumár" sheetId="5" r:id="rId2"/>
    <sheet name="Status quo" sheetId="2" r:id="rId3"/>
    <sheet name="Base Case" sheetId="11" r:id="rId4"/>
    <sheet name="Rekonštrukcia" sheetId="3" r:id="rId5"/>
    <sheet name="CF, NPV, IRR" sheetId="6" r:id="rId6"/>
    <sheet name="Výpočty-náklady" sheetId="4" r:id="rId7"/>
    <sheet name="Výpočty-odpisy" sheetId="8" r:id="rId8"/>
    <sheet name="Koniec" sheetId="12" r:id="rId9"/>
  </sheets>
  <externalReferences>
    <externalReference r:id="rId10"/>
  </externalReferences>
  <calcPr calcId="162913" iterateCount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67" i="4" l="1"/>
  <c r="M147" i="4"/>
  <c r="M146" i="4"/>
  <c r="M145" i="4"/>
  <c r="M144" i="4"/>
  <c r="M139" i="4"/>
  <c r="M136" i="4" s="1"/>
  <c r="M106" i="4"/>
  <c r="M86" i="4"/>
  <c r="M85" i="4"/>
  <c r="M84" i="4"/>
  <c r="M83" i="4"/>
  <c r="M78" i="4"/>
  <c r="M75" i="4" s="1"/>
  <c r="L33" i="4"/>
  <c r="O8" i="3" l="1"/>
  <c r="N11" i="3" l="1"/>
  <c r="N10" i="3"/>
  <c r="N9" i="3"/>
  <c r="N8" i="3"/>
  <c r="M11" i="2" l="1"/>
  <c r="M10" i="2"/>
  <c r="M9" i="2"/>
  <c r="M8" i="2"/>
  <c r="R56" i="11" l="1"/>
  <c r="S56" i="11" s="1"/>
  <c r="T56" i="11" s="1"/>
  <c r="U56" i="11" s="1"/>
  <c r="V56" i="11" s="1"/>
  <c r="W56" i="11" s="1"/>
  <c r="X56" i="11" s="1"/>
  <c r="Y56" i="11" s="1"/>
  <c r="Z56" i="11" s="1"/>
  <c r="AA56" i="11" s="1"/>
  <c r="AB56" i="11" s="1"/>
  <c r="AC56" i="11" s="1"/>
  <c r="AD56" i="11" s="1"/>
  <c r="AE56" i="11" s="1"/>
  <c r="AF56" i="11" s="1"/>
  <c r="AG56" i="11" s="1"/>
  <c r="AH56" i="11" s="1"/>
  <c r="AI56" i="11" s="1"/>
  <c r="AJ56" i="11" s="1"/>
  <c r="AK56" i="11" s="1"/>
  <c r="AL56" i="11" s="1"/>
  <c r="AM56" i="11" s="1"/>
  <c r="AN56" i="11" s="1"/>
  <c r="Q56" i="11"/>
  <c r="R52" i="11"/>
  <c r="S52" i="11" s="1"/>
  <c r="T52" i="11" s="1"/>
  <c r="U52" i="11" s="1"/>
  <c r="V52" i="11" s="1"/>
  <c r="W52" i="11" s="1"/>
  <c r="X52" i="11" s="1"/>
  <c r="Y52" i="11" s="1"/>
  <c r="Z52" i="11" s="1"/>
  <c r="AA52" i="11" s="1"/>
  <c r="AB52" i="11" s="1"/>
  <c r="AC52" i="11" s="1"/>
  <c r="AD52" i="11" s="1"/>
  <c r="AE52" i="11" s="1"/>
  <c r="AF52" i="11" s="1"/>
  <c r="AG52" i="11" s="1"/>
  <c r="AH52" i="11" s="1"/>
  <c r="AI52" i="11" s="1"/>
  <c r="AJ52" i="11" s="1"/>
  <c r="AK52" i="11" s="1"/>
  <c r="AL52" i="11" s="1"/>
  <c r="AM52" i="11" s="1"/>
  <c r="AN52" i="11" s="1"/>
  <c r="R51" i="11"/>
  <c r="S51" i="11" s="1"/>
  <c r="T51" i="11" s="1"/>
  <c r="U51" i="11" s="1"/>
  <c r="V51" i="11" s="1"/>
  <c r="W51" i="11" s="1"/>
  <c r="X51" i="11" s="1"/>
  <c r="Y51" i="11" s="1"/>
  <c r="Z51" i="11" s="1"/>
  <c r="AA51" i="11" s="1"/>
  <c r="AB51" i="11" s="1"/>
  <c r="AC51" i="11" s="1"/>
  <c r="AD51" i="11" s="1"/>
  <c r="AE51" i="11" s="1"/>
  <c r="AF51" i="11" s="1"/>
  <c r="AG51" i="11" s="1"/>
  <c r="AH51" i="11" s="1"/>
  <c r="AI51" i="11" s="1"/>
  <c r="AJ51" i="11" s="1"/>
  <c r="AK51" i="11" s="1"/>
  <c r="AL51" i="11" s="1"/>
  <c r="AM51" i="11" s="1"/>
  <c r="AN51" i="11" s="1"/>
  <c r="Q52" i="11"/>
  <c r="Q51" i="11"/>
  <c r="AN40" i="11"/>
  <c r="AM40" i="11"/>
  <c r="AL40" i="11"/>
  <c r="AK40" i="11"/>
  <c r="AJ40" i="11"/>
  <c r="AI40" i="11"/>
  <c r="AH40" i="11"/>
  <c r="AG40" i="11"/>
  <c r="AF40" i="11"/>
  <c r="AE40" i="11"/>
  <c r="AD40" i="11"/>
  <c r="AC40" i="11"/>
  <c r="AB40" i="11"/>
  <c r="AA40" i="11"/>
  <c r="Z40" i="11"/>
  <c r="Y40" i="11"/>
  <c r="X40" i="11"/>
  <c r="W40" i="11"/>
  <c r="V40" i="11"/>
  <c r="U40" i="11"/>
  <c r="T40" i="11"/>
  <c r="S40" i="11"/>
  <c r="R40" i="11"/>
  <c r="Q40" i="11"/>
  <c r="P40" i="11"/>
  <c r="O40" i="11"/>
  <c r="N40" i="11"/>
  <c r="M40" i="11"/>
  <c r="T56" i="3"/>
  <c r="U56" i="3" s="1"/>
  <c r="V56" i="3" s="1"/>
  <c r="W56" i="3" s="1"/>
  <c r="X56" i="3" s="1"/>
  <c r="Y56" i="3" s="1"/>
  <c r="Z56" i="3" s="1"/>
  <c r="AA56" i="3" s="1"/>
  <c r="AB56" i="3" s="1"/>
  <c r="AC56" i="3" s="1"/>
  <c r="AD56" i="3" s="1"/>
  <c r="AE56" i="3" s="1"/>
  <c r="AF56" i="3" s="1"/>
  <c r="AG56" i="3" s="1"/>
  <c r="AH56" i="3" s="1"/>
  <c r="AI56" i="3" s="1"/>
  <c r="AJ56" i="3" s="1"/>
  <c r="AK56" i="3" s="1"/>
  <c r="AL56" i="3" s="1"/>
  <c r="AM56" i="3" s="1"/>
  <c r="AN56" i="3" s="1"/>
  <c r="S56" i="3"/>
  <c r="R56" i="3"/>
  <c r="S52" i="3"/>
  <c r="T52" i="3" s="1"/>
  <c r="U52" i="3" s="1"/>
  <c r="V52" i="3" s="1"/>
  <c r="W52" i="3" s="1"/>
  <c r="X52" i="3" s="1"/>
  <c r="Y52" i="3" s="1"/>
  <c r="Z52" i="3" s="1"/>
  <c r="AA52" i="3" s="1"/>
  <c r="AB52" i="3" s="1"/>
  <c r="AC52" i="3" s="1"/>
  <c r="AD52" i="3" s="1"/>
  <c r="AE52" i="3" s="1"/>
  <c r="AF52" i="3" s="1"/>
  <c r="AG52" i="3" s="1"/>
  <c r="AH52" i="3" s="1"/>
  <c r="AI52" i="3" s="1"/>
  <c r="AJ52" i="3" s="1"/>
  <c r="AK52" i="3" s="1"/>
  <c r="AL52" i="3" s="1"/>
  <c r="AM52" i="3" s="1"/>
  <c r="AN52" i="3" s="1"/>
  <c r="S51" i="3"/>
  <c r="T51" i="3" s="1"/>
  <c r="U51" i="3" s="1"/>
  <c r="V51" i="3" s="1"/>
  <c r="W51" i="3" s="1"/>
  <c r="X51" i="3" s="1"/>
  <c r="Y51" i="3" s="1"/>
  <c r="Z51" i="3" s="1"/>
  <c r="AA51" i="3" s="1"/>
  <c r="AB51" i="3" s="1"/>
  <c r="AC51" i="3" s="1"/>
  <c r="AD51" i="3" s="1"/>
  <c r="AE51" i="3" s="1"/>
  <c r="AF51" i="3" s="1"/>
  <c r="AG51" i="3" s="1"/>
  <c r="AH51" i="3" s="1"/>
  <c r="AI51" i="3" s="1"/>
  <c r="AJ51" i="3" s="1"/>
  <c r="AK51" i="3" s="1"/>
  <c r="AL51" i="3" s="1"/>
  <c r="AM51" i="3" s="1"/>
  <c r="AN51" i="3" s="1"/>
  <c r="R52" i="3"/>
  <c r="R51" i="3"/>
  <c r="O56" i="2"/>
  <c r="P56" i="2" s="1"/>
  <c r="Q56" i="2" s="1"/>
  <c r="R56" i="2" s="1"/>
  <c r="S56" i="2" s="1"/>
  <c r="T56" i="2" s="1"/>
  <c r="U56" i="2" s="1"/>
  <c r="V56" i="2" s="1"/>
  <c r="W56" i="2" s="1"/>
  <c r="X56" i="2" s="1"/>
  <c r="Y56" i="2" s="1"/>
  <c r="Z56" i="2" s="1"/>
  <c r="AA56" i="2" s="1"/>
  <c r="AB56" i="2" s="1"/>
  <c r="AC56" i="2" s="1"/>
  <c r="AD56" i="2" s="1"/>
  <c r="AE56" i="2" s="1"/>
  <c r="AF56" i="2" s="1"/>
  <c r="AG56" i="2" s="1"/>
  <c r="AH56" i="2" s="1"/>
  <c r="AI56" i="2" s="1"/>
  <c r="AJ56" i="2" s="1"/>
  <c r="AK56" i="2" s="1"/>
  <c r="AL56" i="2" s="1"/>
  <c r="AM56" i="2" s="1"/>
  <c r="AN56" i="2" s="1"/>
  <c r="N56" i="2"/>
  <c r="O52" i="2"/>
  <c r="P52" i="2" s="1"/>
  <c r="Q52" i="2" s="1"/>
  <c r="R52" i="2" s="1"/>
  <c r="S52" i="2" s="1"/>
  <c r="T52" i="2" s="1"/>
  <c r="U52" i="2" s="1"/>
  <c r="V52" i="2" s="1"/>
  <c r="W52" i="2" s="1"/>
  <c r="X52" i="2" s="1"/>
  <c r="Y52" i="2" s="1"/>
  <c r="Z52" i="2" s="1"/>
  <c r="AA52" i="2" s="1"/>
  <c r="AB52" i="2" s="1"/>
  <c r="AC52" i="2" s="1"/>
  <c r="AD52" i="2" s="1"/>
  <c r="AE52" i="2" s="1"/>
  <c r="AF52" i="2" s="1"/>
  <c r="AG52" i="2" s="1"/>
  <c r="AH52" i="2" s="1"/>
  <c r="AI52" i="2" s="1"/>
  <c r="AJ52" i="2" s="1"/>
  <c r="AK52" i="2" s="1"/>
  <c r="AL52" i="2" s="1"/>
  <c r="AM52" i="2" s="1"/>
  <c r="AN52" i="2" s="1"/>
  <c r="O51" i="2"/>
  <c r="P51" i="2" s="1"/>
  <c r="Q51" i="2" s="1"/>
  <c r="R51" i="2" s="1"/>
  <c r="S51" i="2" s="1"/>
  <c r="T51" i="2" s="1"/>
  <c r="U51" i="2" s="1"/>
  <c r="V51" i="2" s="1"/>
  <c r="W51" i="2" s="1"/>
  <c r="X51" i="2" s="1"/>
  <c r="Y51" i="2" s="1"/>
  <c r="Z51" i="2" s="1"/>
  <c r="AA51" i="2" s="1"/>
  <c r="AB51" i="2" s="1"/>
  <c r="AC51" i="2" s="1"/>
  <c r="AD51" i="2" s="1"/>
  <c r="AE51" i="2" s="1"/>
  <c r="AF51" i="2" s="1"/>
  <c r="AG51" i="2" s="1"/>
  <c r="AH51" i="2" s="1"/>
  <c r="AI51" i="2" s="1"/>
  <c r="AJ51" i="2" s="1"/>
  <c r="AK51" i="2" s="1"/>
  <c r="AL51" i="2" s="1"/>
  <c r="AM51" i="2" s="1"/>
  <c r="AN51" i="2" s="1"/>
  <c r="N52" i="2"/>
  <c r="N51" i="2"/>
  <c r="M51" i="2"/>
  <c r="M52" i="2"/>
  <c r="O40" i="2"/>
  <c r="P40" i="2" s="1"/>
  <c r="Q40" i="2" s="1"/>
  <c r="R40" i="2" s="1"/>
  <c r="S40" i="2" s="1"/>
  <c r="T40" i="2" s="1"/>
  <c r="U40" i="2" s="1"/>
  <c r="V40" i="2" s="1"/>
  <c r="W40" i="2" s="1"/>
  <c r="X40" i="2" s="1"/>
  <c r="Y40" i="2" s="1"/>
  <c r="Z40" i="2" s="1"/>
  <c r="AA40" i="2" s="1"/>
  <c r="AB40" i="2" s="1"/>
  <c r="AC40" i="2" s="1"/>
  <c r="AD40" i="2" s="1"/>
  <c r="AE40" i="2" s="1"/>
  <c r="AF40" i="2" s="1"/>
  <c r="AG40" i="2" s="1"/>
  <c r="AH40" i="2" s="1"/>
  <c r="AI40" i="2" s="1"/>
  <c r="AJ40" i="2" s="1"/>
  <c r="AK40" i="2" s="1"/>
  <c r="AL40" i="2" s="1"/>
  <c r="AM40" i="2" s="1"/>
  <c r="AN40" i="2" s="1"/>
  <c r="N40" i="2"/>
  <c r="N6" i="2"/>
  <c r="O6" i="2" s="1"/>
  <c r="P6" i="2" s="1"/>
  <c r="Q6" i="2" s="1"/>
  <c r="R6" i="2" s="1"/>
  <c r="S6" i="2" s="1"/>
  <c r="T6" i="2" s="1"/>
  <c r="U6" i="2" s="1"/>
  <c r="V6" i="2" s="1"/>
  <c r="W6" i="2" s="1"/>
  <c r="X6" i="2" s="1"/>
  <c r="Y6" i="2" s="1"/>
  <c r="Z6" i="2" s="1"/>
  <c r="AA6" i="2" s="1"/>
  <c r="AB6" i="2" s="1"/>
  <c r="AC6" i="2" s="1"/>
  <c r="AD6" i="2" s="1"/>
  <c r="AE6" i="2" s="1"/>
  <c r="AF6" i="2" s="1"/>
  <c r="AG6" i="2" s="1"/>
  <c r="AH6" i="2" s="1"/>
  <c r="AI6" i="2" s="1"/>
  <c r="AJ6" i="2" s="1"/>
  <c r="AK6" i="2" s="1"/>
  <c r="AL6" i="2" s="1"/>
  <c r="AM6" i="2" s="1"/>
  <c r="AN6" i="2" s="1"/>
  <c r="O62" i="4"/>
  <c r="P62" i="4" s="1"/>
  <c r="Q62" i="4" s="1"/>
  <c r="R62" i="4" s="1"/>
  <c r="S62" i="4" s="1"/>
  <c r="T62" i="4" s="1"/>
  <c r="U62" i="4" s="1"/>
  <c r="V62" i="4" s="1"/>
  <c r="W62" i="4" s="1"/>
  <c r="X62" i="4" s="1"/>
  <c r="Y62" i="4" s="1"/>
  <c r="Z62" i="4" s="1"/>
  <c r="AA62" i="4" s="1"/>
  <c r="AB62" i="4" s="1"/>
  <c r="AC62" i="4" s="1"/>
  <c r="AD62" i="4" s="1"/>
  <c r="AE62" i="4" s="1"/>
  <c r="AF62" i="4" s="1"/>
  <c r="AG62" i="4" s="1"/>
  <c r="AH62" i="4" s="1"/>
  <c r="AI62" i="4" s="1"/>
  <c r="AJ62" i="4" s="1"/>
  <c r="AK62" i="4" s="1"/>
  <c r="AL62" i="4" s="1"/>
  <c r="AM62" i="4" s="1"/>
  <c r="AN62" i="4" s="1"/>
  <c r="O61" i="4"/>
  <c r="P61" i="4" s="1"/>
  <c r="Q61" i="4" s="1"/>
  <c r="R61" i="4" s="1"/>
  <c r="S61" i="4" s="1"/>
  <c r="T61" i="4" s="1"/>
  <c r="U61" i="4" s="1"/>
  <c r="V61" i="4" s="1"/>
  <c r="W61" i="4" s="1"/>
  <c r="X61" i="4" s="1"/>
  <c r="Y61" i="4" s="1"/>
  <c r="Z61" i="4" s="1"/>
  <c r="AA61" i="4" s="1"/>
  <c r="AB61" i="4" s="1"/>
  <c r="AC61" i="4" s="1"/>
  <c r="AD61" i="4" s="1"/>
  <c r="AE61" i="4" s="1"/>
  <c r="AF61" i="4" s="1"/>
  <c r="AG61" i="4" s="1"/>
  <c r="AH61" i="4" s="1"/>
  <c r="AI61" i="4" s="1"/>
  <c r="AJ61" i="4" s="1"/>
  <c r="AK61" i="4" s="1"/>
  <c r="AL61" i="4" s="1"/>
  <c r="AM61" i="4" s="1"/>
  <c r="AN61" i="4" s="1"/>
  <c r="Q60" i="4"/>
  <c r="R60" i="4" s="1"/>
  <c r="S60" i="4" s="1"/>
  <c r="T60" i="4" s="1"/>
  <c r="U60" i="4" s="1"/>
  <c r="V60" i="4" s="1"/>
  <c r="W60" i="4" s="1"/>
  <c r="X60" i="4" s="1"/>
  <c r="Y60" i="4" s="1"/>
  <c r="Z60" i="4" s="1"/>
  <c r="AA60" i="4" s="1"/>
  <c r="AB60" i="4" s="1"/>
  <c r="AC60" i="4" s="1"/>
  <c r="AD60" i="4" s="1"/>
  <c r="AE60" i="4" s="1"/>
  <c r="AF60" i="4" s="1"/>
  <c r="AG60" i="4" s="1"/>
  <c r="AH60" i="4" s="1"/>
  <c r="AI60" i="4" s="1"/>
  <c r="AJ60" i="4" s="1"/>
  <c r="AK60" i="4" s="1"/>
  <c r="AL60" i="4" s="1"/>
  <c r="AM60" i="4" s="1"/>
  <c r="AN60" i="4" s="1"/>
  <c r="P60" i="4"/>
  <c r="O60" i="4"/>
  <c r="O59" i="4"/>
  <c r="P59" i="4" s="1"/>
  <c r="Q59" i="4" s="1"/>
  <c r="R59" i="4" s="1"/>
  <c r="S59" i="4" s="1"/>
  <c r="T59" i="4" s="1"/>
  <c r="U59" i="4" s="1"/>
  <c r="V59" i="4" s="1"/>
  <c r="W59" i="4" s="1"/>
  <c r="X59" i="4" s="1"/>
  <c r="Y59" i="4" s="1"/>
  <c r="Z59" i="4" s="1"/>
  <c r="AA59" i="4" s="1"/>
  <c r="AB59" i="4" s="1"/>
  <c r="AC59" i="4" s="1"/>
  <c r="AD59" i="4" s="1"/>
  <c r="AE59" i="4" s="1"/>
  <c r="AF59" i="4" s="1"/>
  <c r="AG59" i="4" s="1"/>
  <c r="AH59" i="4" s="1"/>
  <c r="AI59" i="4" s="1"/>
  <c r="AJ59" i="4" s="1"/>
  <c r="AK59" i="4" s="1"/>
  <c r="AL59" i="4" s="1"/>
  <c r="AM59" i="4" s="1"/>
  <c r="AN59" i="4" s="1"/>
  <c r="O58" i="4"/>
  <c r="P58" i="4" s="1"/>
  <c r="Q58" i="4" s="1"/>
  <c r="R58" i="4" s="1"/>
  <c r="S58" i="4" s="1"/>
  <c r="T58" i="4" s="1"/>
  <c r="U58" i="4" s="1"/>
  <c r="V58" i="4" s="1"/>
  <c r="W58" i="4" s="1"/>
  <c r="X58" i="4" s="1"/>
  <c r="Y58" i="4" s="1"/>
  <c r="Z58" i="4" s="1"/>
  <c r="AA58" i="4" s="1"/>
  <c r="AB58" i="4" s="1"/>
  <c r="AC58" i="4" s="1"/>
  <c r="AD58" i="4" s="1"/>
  <c r="AE58" i="4" s="1"/>
  <c r="AF58" i="4" s="1"/>
  <c r="AG58" i="4" s="1"/>
  <c r="AH58" i="4" s="1"/>
  <c r="AI58" i="4" s="1"/>
  <c r="AJ58" i="4" s="1"/>
  <c r="AK58" i="4" s="1"/>
  <c r="AL58" i="4" s="1"/>
  <c r="AM58" i="4" s="1"/>
  <c r="AN58" i="4" s="1"/>
  <c r="O57" i="4"/>
  <c r="P57" i="4" s="1"/>
  <c r="Q57" i="4" s="1"/>
  <c r="R57" i="4" s="1"/>
  <c r="S57" i="4" s="1"/>
  <c r="T57" i="4" s="1"/>
  <c r="U57" i="4" s="1"/>
  <c r="V57" i="4" s="1"/>
  <c r="W57" i="4" s="1"/>
  <c r="X57" i="4" s="1"/>
  <c r="Y57" i="4" s="1"/>
  <c r="Z57" i="4" s="1"/>
  <c r="AA57" i="4" s="1"/>
  <c r="AB57" i="4" s="1"/>
  <c r="AC57" i="4" s="1"/>
  <c r="AD57" i="4" s="1"/>
  <c r="AE57" i="4" s="1"/>
  <c r="AF57" i="4" s="1"/>
  <c r="AG57" i="4" s="1"/>
  <c r="AH57" i="4" s="1"/>
  <c r="AI57" i="4" s="1"/>
  <c r="AJ57" i="4" s="1"/>
  <c r="AK57" i="4" s="1"/>
  <c r="AL57" i="4" s="1"/>
  <c r="AM57" i="4" s="1"/>
  <c r="AN57" i="4" s="1"/>
  <c r="Q56" i="4"/>
  <c r="R56" i="4" s="1"/>
  <c r="S56" i="4" s="1"/>
  <c r="T56" i="4" s="1"/>
  <c r="U56" i="4" s="1"/>
  <c r="V56" i="4" s="1"/>
  <c r="W56" i="4" s="1"/>
  <c r="X56" i="4" s="1"/>
  <c r="Y56" i="4" s="1"/>
  <c r="Z56" i="4" s="1"/>
  <c r="AA56" i="4" s="1"/>
  <c r="AB56" i="4" s="1"/>
  <c r="AC56" i="4" s="1"/>
  <c r="AD56" i="4" s="1"/>
  <c r="AE56" i="4" s="1"/>
  <c r="AF56" i="4" s="1"/>
  <c r="AG56" i="4" s="1"/>
  <c r="AH56" i="4" s="1"/>
  <c r="AI56" i="4" s="1"/>
  <c r="AJ56" i="4" s="1"/>
  <c r="AK56" i="4" s="1"/>
  <c r="AL56" i="4" s="1"/>
  <c r="AM56" i="4" s="1"/>
  <c r="AN56" i="4" s="1"/>
  <c r="P56" i="4"/>
  <c r="O56" i="4"/>
  <c r="O55" i="4"/>
  <c r="P55" i="4" s="1"/>
  <c r="Q55" i="4" s="1"/>
  <c r="R55" i="4" s="1"/>
  <c r="S55" i="4" s="1"/>
  <c r="T55" i="4" s="1"/>
  <c r="U55" i="4" s="1"/>
  <c r="V55" i="4" s="1"/>
  <c r="W55" i="4" s="1"/>
  <c r="X55" i="4" s="1"/>
  <c r="Y55" i="4" s="1"/>
  <c r="Z55" i="4" s="1"/>
  <c r="AA55" i="4" s="1"/>
  <c r="AB55" i="4" s="1"/>
  <c r="AC55" i="4" s="1"/>
  <c r="AD55" i="4" s="1"/>
  <c r="AE55" i="4" s="1"/>
  <c r="AF55" i="4" s="1"/>
  <c r="AG55" i="4" s="1"/>
  <c r="AH55" i="4" s="1"/>
  <c r="AI55" i="4" s="1"/>
  <c r="AJ55" i="4" s="1"/>
  <c r="AK55" i="4" s="1"/>
  <c r="AL55" i="4" s="1"/>
  <c r="AM55" i="4" s="1"/>
  <c r="AN55" i="4" s="1"/>
  <c r="O54" i="4"/>
  <c r="P54" i="4" s="1"/>
  <c r="Q54" i="4" s="1"/>
  <c r="R54" i="4" s="1"/>
  <c r="S54" i="4" s="1"/>
  <c r="T54" i="4" s="1"/>
  <c r="U54" i="4" s="1"/>
  <c r="V54" i="4" s="1"/>
  <c r="W54" i="4" s="1"/>
  <c r="X54" i="4" s="1"/>
  <c r="Y54" i="4" s="1"/>
  <c r="Z54" i="4" s="1"/>
  <c r="AA54" i="4" s="1"/>
  <c r="AB54" i="4" s="1"/>
  <c r="AC54" i="4" s="1"/>
  <c r="AD54" i="4" s="1"/>
  <c r="AE54" i="4" s="1"/>
  <c r="AF54" i="4" s="1"/>
  <c r="AG54" i="4" s="1"/>
  <c r="AH54" i="4" s="1"/>
  <c r="AI54" i="4" s="1"/>
  <c r="AJ54" i="4" s="1"/>
  <c r="AK54" i="4" s="1"/>
  <c r="AL54" i="4" s="1"/>
  <c r="AM54" i="4" s="1"/>
  <c r="AN54" i="4" s="1"/>
  <c r="O53" i="4"/>
  <c r="P53" i="4" s="1"/>
  <c r="Q53" i="4" s="1"/>
  <c r="R53" i="4" s="1"/>
  <c r="S53" i="4" s="1"/>
  <c r="T53" i="4" s="1"/>
  <c r="U53" i="4" s="1"/>
  <c r="V53" i="4" s="1"/>
  <c r="W53" i="4" s="1"/>
  <c r="X53" i="4" s="1"/>
  <c r="Y53" i="4" s="1"/>
  <c r="Z53" i="4" s="1"/>
  <c r="AA53" i="4" s="1"/>
  <c r="AB53" i="4" s="1"/>
  <c r="AC53" i="4" s="1"/>
  <c r="AD53" i="4" s="1"/>
  <c r="AE53" i="4" s="1"/>
  <c r="AF53" i="4" s="1"/>
  <c r="AG53" i="4" s="1"/>
  <c r="AH53" i="4" s="1"/>
  <c r="AI53" i="4" s="1"/>
  <c r="AJ53" i="4" s="1"/>
  <c r="AK53" i="4" s="1"/>
  <c r="AL53" i="4" s="1"/>
  <c r="AM53" i="4" s="1"/>
  <c r="AN53" i="4" s="1"/>
  <c r="Q52" i="4"/>
  <c r="R52" i="4" s="1"/>
  <c r="S52" i="4" s="1"/>
  <c r="T52" i="4" s="1"/>
  <c r="U52" i="4" s="1"/>
  <c r="V52" i="4" s="1"/>
  <c r="W52" i="4" s="1"/>
  <c r="X52" i="4" s="1"/>
  <c r="Y52" i="4" s="1"/>
  <c r="Z52" i="4" s="1"/>
  <c r="AA52" i="4" s="1"/>
  <c r="AB52" i="4" s="1"/>
  <c r="AC52" i="4" s="1"/>
  <c r="AD52" i="4" s="1"/>
  <c r="AE52" i="4" s="1"/>
  <c r="AF52" i="4" s="1"/>
  <c r="AG52" i="4" s="1"/>
  <c r="AH52" i="4" s="1"/>
  <c r="AI52" i="4" s="1"/>
  <c r="AJ52" i="4" s="1"/>
  <c r="AK52" i="4" s="1"/>
  <c r="AL52" i="4" s="1"/>
  <c r="AM52" i="4" s="1"/>
  <c r="AN52" i="4" s="1"/>
  <c r="P52" i="4"/>
  <c r="O52" i="4"/>
  <c r="O51" i="4"/>
  <c r="P51" i="4" s="1"/>
  <c r="Q51" i="4" s="1"/>
  <c r="R51" i="4" s="1"/>
  <c r="S51" i="4" s="1"/>
  <c r="T51" i="4" s="1"/>
  <c r="U51" i="4" s="1"/>
  <c r="V51" i="4" s="1"/>
  <c r="W51" i="4" s="1"/>
  <c r="X51" i="4" s="1"/>
  <c r="Y51" i="4" s="1"/>
  <c r="Z51" i="4" s="1"/>
  <c r="AA51" i="4" s="1"/>
  <c r="AB51" i="4" s="1"/>
  <c r="AC51" i="4" s="1"/>
  <c r="AD51" i="4" s="1"/>
  <c r="AE51" i="4" s="1"/>
  <c r="AF51" i="4" s="1"/>
  <c r="AG51" i="4" s="1"/>
  <c r="AH51" i="4" s="1"/>
  <c r="AI51" i="4" s="1"/>
  <c r="AJ51" i="4" s="1"/>
  <c r="AK51" i="4" s="1"/>
  <c r="AL51" i="4" s="1"/>
  <c r="AM51" i="4" s="1"/>
  <c r="AN51" i="4" s="1"/>
  <c r="O50" i="4"/>
  <c r="P50" i="4" s="1"/>
  <c r="Q50" i="4" s="1"/>
  <c r="R50" i="4" s="1"/>
  <c r="S50" i="4" s="1"/>
  <c r="T50" i="4" s="1"/>
  <c r="U50" i="4" s="1"/>
  <c r="V50" i="4" s="1"/>
  <c r="W50" i="4" s="1"/>
  <c r="X50" i="4" s="1"/>
  <c r="Y50" i="4" s="1"/>
  <c r="Z50" i="4" s="1"/>
  <c r="AA50" i="4" s="1"/>
  <c r="AB50" i="4" s="1"/>
  <c r="AC50" i="4" s="1"/>
  <c r="AD50" i="4" s="1"/>
  <c r="AE50" i="4" s="1"/>
  <c r="AF50" i="4" s="1"/>
  <c r="AG50" i="4" s="1"/>
  <c r="AH50" i="4" s="1"/>
  <c r="AI50" i="4" s="1"/>
  <c r="AJ50" i="4" s="1"/>
  <c r="AK50" i="4" s="1"/>
  <c r="AL50" i="4" s="1"/>
  <c r="AM50" i="4" s="1"/>
  <c r="AN50" i="4" s="1"/>
  <c r="O49" i="4"/>
  <c r="P49" i="4" s="1"/>
  <c r="Q49" i="4" s="1"/>
  <c r="R49" i="4" s="1"/>
  <c r="S49" i="4" s="1"/>
  <c r="T49" i="4" s="1"/>
  <c r="U49" i="4" s="1"/>
  <c r="V49" i="4" s="1"/>
  <c r="W49" i="4" s="1"/>
  <c r="X49" i="4" s="1"/>
  <c r="Y49" i="4" s="1"/>
  <c r="Z49" i="4" s="1"/>
  <c r="AA49" i="4" s="1"/>
  <c r="AB49" i="4" s="1"/>
  <c r="AC49" i="4" s="1"/>
  <c r="AD49" i="4" s="1"/>
  <c r="AE49" i="4" s="1"/>
  <c r="AF49" i="4" s="1"/>
  <c r="AG49" i="4" s="1"/>
  <c r="AH49" i="4" s="1"/>
  <c r="AI49" i="4" s="1"/>
  <c r="AJ49" i="4" s="1"/>
  <c r="AK49" i="4" s="1"/>
  <c r="AL49" i="4" s="1"/>
  <c r="AM49" i="4" s="1"/>
  <c r="AN49" i="4" s="1"/>
  <c r="P48" i="4"/>
  <c r="Q48" i="4" s="1"/>
  <c r="R48" i="4" s="1"/>
  <c r="S48" i="4" s="1"/>
  <c r="T48" i="4" s="1"/>
  <c r="U48" i="4" s="1"/>
  <c r="V48" i="4" s="1"/>
  <c r="W48" i="4" s="1"/>
  <c r="X48" i="4" s="1"/>
  <c r="Y48" i="4" s="1"/>
  <c r="Z48" i="4" s="1"/>
  <c r="AA48" i="4" s="1"/>
  <c r="AB48" i="4" s="1"/>
  <c r="AC48" i="4" s="1"/>
  <c r="AD48" i="4" s="1"/>
  <c r="AE48" i="4" s="1"/>
  <c r="AF48" i="4" s="1"/>
  <c r="AG48" i="4" s="1"/>
  <c r="AH48" i="4" s="1"/>
  <c r="AI48" i="4" s="1"/>
  <c r="AJ48" i="4" s="1"/>
  <c r="AK48" i="4" s="1"/>
  <c r="AL48" i="4" s="1"/>
  <c r="AM48" i="4" s="1"/>
  <c r="AN48" i="4" s="1"/>
  <c r="O48" i="4"/>
  <c r="O42" i="4"/>
  <c r="P42" i="4" s="1"/>
  <c r="Q42" i="4" s="1"/>
  <c r="R42" i="4" s="1"/>
  <c r="S42" i="4" s="1"/>
  <c r="T42" i="4" s="1"/>
  <c r="U42" i="4" s="1"/>
  <c r="V42" i="4" s="1"/>
  <c r="W42" i="4" s="1"/>
  <c r="X42" i="4" s="1"/>
  <c r="Y42" i="4" s="1"/>
  <c r="Z42" i="4" s="1"/>
  <c r="AA42" i="4" s="1"/>
  <c r="AB42" i="4" s="1"/>
  <c r="AC42" i="4" s="1"/>
  <c r="AD42" i="4" s="1"/>
  <c r="AE42" i="4" s="1"/>
  <c r="AF42" i="4" s="1"/>
  <c r="AG42" i="4" s="1"/>
  <c r="AH42" i="4" s="1"/>
  <c r="AI42" i="4" s="1"/>
  <c r="AJ42" i="4" s="1"/>
  <c r="AK42" i="4" s="1"/>
  <c r="AL42" i="4" s="1"/>
  <c r="AM42" i="4" s="1"/>
  <c r="AN42" i="4" s="1"/>
  <c r="N42" i="4"/>
  <c r="O39" i="4"/>
  <c r="P39" i="4" s="1"/>
  <c r="Q39" i="4" s="1"/>
  <c r="R39" i="4" s="1"/>
  <c r="S39" i="4" s="1"/>
  <c r="T39" i="4" s="1"/>
  <c r="U39" i="4" s="1"/>
  <c r="V39" i="4" s="1"/>
  <c r="W39" i="4" s="1"/>
  <c r="X39" i="4" s="1"/>
  <c r="Y39" i="4" s="1"/>
  <c r="Z39" i="4" s="1"/>
  <c r="AA39" i="4" s="1"/>
  <c r="AB39" i="4" s="1"/>
  <c r="AC39" i="4" s="1"/>
  <c r="AD39" i="4" s="1"/>
  <c r="AE39" i="4" s="1"/>
  <c r="AF39" i="4" s="1"/>
  <c r="AG39" i="4" s="1"/>
  <c r="AH39" i="4" s="1"/>
  <c r="AI39" i="4" s="1"/>
  <c r="AJ39" i="4" s="1"/>
  <c r="AK39" i="4" s="1"/>
  <c r="AL39" i="4" s="1"/>
  <c r="AM39" i="4" s="1"/>
  <c r="AN39" i="4" s="1"/>
  <c r="O27" i="4"/>
  <c r="P27" i="4" s="1"/>
  <c r="Q27" i="4" s="1"/>
  <c r="R27" i="4" s="1"/>
  <c r="S27" i="4" s="1"/>
  <c r="T27" i="4" s="1"/>
  <c r="U27" i="4" s="1"/>
  <c r="V27" i="4" s="1"/>
  <c r="W27" i="4" s="1"/>
  <c r="X27" i="4" s="1"/>
  <c r="Y27" i="4" s="1"/>
  <c r="Z27" i="4" s="1"/>
  <c r="AA27" i="4" s="1"/>
  <c r="AB27" i="4" s="1"/>
  <c r="AC27" i="4" s="1"/>
  <c r="AD27" i="4" s="1"/>
  <c r="AE27" i="4" s="1"/>
  <c r="AF27" i="4" s="1"/>
  <c r="AG27" i="4" s="1"/>
  <c r="AH27" i="4" s="1"/>
  <c r="AI27" i="4" s="1"/>
  <c r="AJ27" i="4" s="1"/>
  <c r="AK27" i="4" s="1"/>
  <c r="AL27" i="4" s="1"/>
  <c r="AM27" i="4" s="1"/>
  <c r="AN27" i="4" s="1"/>
  <c r="N27" i="4"/>
  <c r="Z25" i="4"/>
  <c r="AA25" i="4" s="1"/>
  <c r="AB25" i="4" s="1"/>
  <c r="AC25" i="4" s="1"/>
  <c r="AD25" i="4" s="1"/>
  <c r="AE25" i="4" s="1"/>
  <c r="AF25" i="4" s="1"/>
  <c r="AG25" i="4" s="1"/>
  <c r="AH25" i="4" s="1"/>
  <c r="AI25" i="4" s="1"/>
  <c r="AJ25" i="4" s="1"/>
  <c r="AK25" i="4" s="1"/>
  <c r="AL25" i="4" s="1"/>
  <c r="AM25" i="4" s="1"/>
  <c r="AN25" i="4" s="1"/>
  <c r="Y25" i="4"/>
  <c r="X25" i="4"/>
  <c r="X24" i="4"/>
  <c r="Y24" i="4" s="1"/>
  <c r="Z24" i="4" s="1"/>
  <c r="AA24" i="4" s="1"/>
  <c r="AB24" i="4" s="1"/>
  <c r="AC24" i="4" s="1"/>
  <c r="AD24" i="4" s="1"/>
  <c r="AE24" i="4" s="1"/>
  <c r="AF24" i="4" s="1"/>
  <c r="AG24" i="4" s="1"/>
  <c r="AH24" i="4" s="1"/>
  <c r="AI24" i="4" s="1"/>
  <c r="AJ24" i="4" s="1"/>
  <c r="AK24" i="4" s="1"/>
  <c r="AL24" i="4" s="1"/>
  <c r="AM24" i="4" s="1"/>
  <c r="AN24" i="4" s="1"/>
  <c r="X23" i="4"/>
  <c r="Y23" i="4" s="1"/>
  <c r="Z23" i="4" s="1"/>
  <c r="AA23" i="4" s="1"/>
  <c r="AB23" i="4" s="1"/>
  <c r="AC23" i="4" s="1"/>
  <c r="AD23" i="4" s="1"/>
  <c r="AE23" i="4" s="1"/>
  <c r="AF23" i="4" s="1"/>
  <c r="AG23" i="4" s="1"/>
  <c r="AH23" i="4" s="1"/>
  <c r="AI23" i="4" s="1"/>
  <c r="AJ23" i="4" s="1"/>
  <c r="AK23" i="4" s="1"/>
  <c r="AL23" i="4" s="1"/>
  <c r="AM23" i="4" s="1"/>
  <c r="AN23" i="4" s="1"/>
  <c r="Y22" i="4"/>
  <c r="Z22" i="4" s="1"/>
  <c r="AA22" i="4" s="1"/>
  <c r="AB22" i="4" s="1"/>
  <c r="AC22" i="4" s="1"/>
  <c r="AD22" i="4" s="1"/>
  <c r="AE22" i="4" s="1"/>
  <c r="AF22" i="4" s="1"/>
  <c r="AG22" i="4" s="1"/>
  <c r="AH22" i="4" s="1"/>
  <c r="AI22" i="4" s="1"/>
  <c r="AJ22" i="4" s="1"/>
  <c r="AK22" i="4" s="1"/>
  <c r="AL22" i="4" s="1"/>
  <c r="AM22" i="4" s="1"/>
  <c r="AN22" i="4" s="1"/>
  <c r="X22" i="4"/>
  <c r="X19" i="4"/>
  <c r="Y19" i="4" s="1"/>
  <c r="Z19" i="4" s="1"/>
  <c r="AA19" i="4" s="1"/>
  <c r="AB19" i="4" s="1"/>
  <c r="AC19" i="4" s="1"/>
  <c r="AD19" i="4" s="1"/>
  <c r="AE19" i="4" s="1"/>
  <c r="AF19" i="4" s="1"/>
  <c r="AG19" i="4" s="1"/>
  <c r="AH19" i="4" s="1"/>
  <c r="AI19" i="4" s="1"/>
  <c r="AJ19" i="4" s="1"/>
  <c r="AK19" i="4" s="1"/>
  <c r="AL19" i="4" s="1"/>
  <c r="AM19" i="4" s="1"/>
  <c r="AN19" i="4" s="1"/>
  <c r="X18" i="4"/>
  <c r="Y18" i="4" s="1"/>
  <c r="Z18" i="4" s="1"/>
  <c r="AA18" i="4" s="1"/>
  <c r="AB18" i="4" s="1"/>
  <c r="AC18" i="4" s="1"/>
  <c r="AD18" i="4" s="1"/>
  <c r="AE18" i="4" s="1"/>
  <c r="AF18" i="4" s="1"/>
  <c r="AG18" i="4" s="1"/>
  <c r="AH18" i="4" s="1"/>
  <c r="AI18" i="4" s="1"/>
  <c r="AJ18" i="4" s="1"/>
  <c r="AK18" i="4" s="1"/>
  <c r="AL18" i="4" s="1"/>
  <c r="AM18" i="4" s="1"/>
  <c r="AN18" i="4" s="1"/>
  <c r="Y17" i="4"/>
  <c r="Z17" i="4" s="1"/>
  <c r="AA17" i="4" s="1"/>
  <c r="AB17" i="4" s="1"/>
  <c r="AC17" i="4" s="1"/>
  <c r="AD17" i="4" s="1"/>
  <c r="AE17" i="4" s="1"/>
  <c r="AF17" i="4" s="1"/>
  <c r="AG17" i="4" s="1"/>
  <c r="AH17" i="4" s="1"/>
  <c r="AI17" i="4" s="1"/>
  <c r="AJ17" i="4" s="1"/>
  <c r="AK17" i="4" s="1"/>
  <c r="AL17" i="4" s="1"/>
  <c r="AM17" i="4" s="1"/>
  <c r="AN17" i="4" s="1"/>
  <c r="X17" i="4"/>
  <c r="W25" i="4"/>
  <c r="W24" i="4"/>
  <c r="W23" i="4"/>
  <c r="W22" i="4"/>
  <c r="W19" i="4"/>
  <c r="W18" i="4"/>
  <c r="W17" i="4"/>
  <c r="V25" i="4"/>
  <c r="V24" i="4"/>
  <c r="V23" i="4"/>
  <c r="V22" i="4"/>
  <c r="V19" i="4"/>
  <c r="V18" i="4"/>
  <c r="V17" i="4"/>
  <c r="U25" i="4"/>
  <c r="U24" i="4"/>
  <c r="U23" i="4"/>
  <c r="U22" i="4"/>
  <c r="U19" i="4"/>
  <c r="U18" i="4"/>
  <c r="U17" i="4"/>
  <c r="T25" i="4"/>
  <c r="T24" i="4"/>
  <c r="T23" i="4"/>
  <c r="T22" i="4"/>
  <c r="T19" i="4"/>
  <c r="T18" i="4"/>
  <c r="T17" i="4"/>
  <c r="S25" i="4"/>
  <c r="S24" i="4"/>
  <c r="S23" i="4"/>
  <c r="S22" i="4"/>
  <c r="S19" i="4"/>
  <c r="S18" i="4"/>
  <c r="S17" i="4"/>
  <c r="R25" i="4"/>
  <c r="R24" i="4"/>
  <c r="R23" i="4"/>
  <c r="R22" i="4"/>
  <c r="R19" i="4"/>
  <c r="R18" i="4"/>
  <c r="R17" i="4"/>
  <c r="Q25" i="4"/>
  <c r="Q24" i="4"/>
  <c r="Q23" i="4"/>
  <c r="Q22" i="4"/>
  <c r="Q19" i="4"/>
  <c r="Q18" i="4"/>
  <c r="Q17" i="4"/>
  <c r="P25" i="4"/>
  <c r="P24" i="4"/>
  <c r="P23" i="4"/>
  <c r="P22" i="4"/>
  <c r="P19" i="4"/>
  <c r="P18" i="4"/>
  <c r="P17" i="4"/>
  <c r="O25" i="4"/>
  <c r="O24" i="4"/>
  <c r="O23" i="4"/>
  <c r="O22" i="4"/>
  <c r="O21" i="4"/>
  <c r="P21" i="4" s="1"/>
  <c r="Q21" i="4" s="1"/>
  <c r="R21" i="4" s="1"/>
  <c r="S21" i="4" s="1"/>
  <c r="T21" i="4" s="1"/>
  <c r="U21" i="4" s="1"/>
  <c r="V21" i="4" s="1"/>
  <c r="W21" i="4" s="1"/>
  <c r="X21" i="4" s="1"/>
  <c r="Y21" i="4" s="1"/>
  <c r="Z21" i="4" s="1"/>
  <c r="AA21" i="4" s="1"/>
  <c r="AB21" i="4" s="1"/>
  <c r="AC21" i="4" s="1"/>
  <c r="AD21" i="4" s="1"/>
  <c r="AE21" i="4" s="1"/>
  <c r="AF21" i="4" s="1"/>
  <c r="AG21" i="4" s="1"/>
  <c r="AH21" i="4" s="1"/>
  <c r="AI21" i="4" s="1"/>
  <c r="AJ21" i="4" s="1"/>
  <c r="AK21" i="4" s="1"/>
  <c r="AL21" i="4" s="1"/>
  <c r="AM21" i="4" s="1"/>
  <c r="AN21" i="4" s="1"/>
  <c r="O19" i="4"/>
  <c r="O18" i="4"/>
  <c r="O17" i="4"/>
  <c r="N17" i="4"/>
  <c r="N62" i="4"/>
  <c r="N61" i="4"/>
  <c r="N60" i="4"/>
  <c r="N59" i="4"/>
  <c r="N58" i="4"/>
  <c r="N57" i="4"/>
  <c r="N56" i="4"/>
  <c r="N55" i="4"/>
  <c r="N54" i="4"/>
  <c r="N53" i="4"/>
  <c r="N52" i="4"/>
  <c r="N51" i="4"/>
  <c r="N50" i="4"/>
  <c r="N49" i="4"/>
  <c r="N48" i="4"/>
  <c r="N39" i="4"/>
  <c r="N34" i="4"/>
  <c r="O34" i="4" s="1"/>
  <c r="P34" i="4" s="1"/>
  <c r="Q34" i="4" s="1"/>
  <c r="R34" i="4" s="1"/>
  <c r="S34" i="4" s="1"/>
  <c r="T34" i="4" s="1"/>
  <c r="U34" i="4" s="1"/>
  <c r="V34" i="4" s="1"/>
  <c r="W34" i="4" s="1"/>
  <c r="X34" i="4" s="1"/>
  <c r="Y34" i="4" s="1"/>
  <c r="Z34" i="4" s="1"/>
  <c r="AA34" i="4" s="1"/>
  <c r="AB34" i="4" s="1"/>
  <c r="AC34" i="4" s="1"/>
  <c r="AD34" i="4" s="1"/>
  <c r="AE34" i="4" s="1"/>
  <c r="AF34" i="4" s="1"/>
  <c r="AG34" i="4" s="1"/>
  <c r="AH34" i="4" s="1"/>
  <c r="AI34" i="4" s="1"/>
  <c r="AJ34" i="4" s="1"/>
  <c r="AK34" i="4" s="1"/>
  <c r="AL34" i="4" s="1"/>
  <c r="AM34" i="4" s="1"/>
  <c r="AN34" i="4" s="1"/>
  <c r="N33" i="4"/>
  <c r="O33" i="4" s="1"/>
  <c r="P33" i="4" s="1"/>
  <c r="Q33" i="4" s="1"/>
  <c r="R33" i="4" s="1"/>
  <c r="S33" i="4" s="1"/>
  <c r="T33" i="4" s="1"/>
  <c r="U33" i="4" s="1"/>
  <c r="V33" i="4" s="1"/>
  <c r="W33" i="4" s="1"/>
  <c r="X33" i="4" s="1"/>
  <c r="Y33" i="4" s="1"/>
  <c r="Z33" i="4" s="1"/>
  <c r="AA33" i="4" s="1"/>
  <c r="AB33" i="4" s="1"/>
  <c r="AC33" i="4" s="1"/>
  <c r="AD33" i="4" s="1"/>
  <c r="AE33" i="4" s="1"/>
  <c r="AF33" i="4" s="1"/>
  <c r="AG33" i="4" s="1"/>
  <c r="AH33" i="4" s="1"/>
  <c r="AI33" i="4" s="1"/>
  <c r="AJ33" i="4" s="1"/>
  <c r="AK33" i="4" s="1"/>
  <c r="AL33" i="4" s="1"/>
  <c r="AM33" i="4" s="1"/>
  <c r="AN33" i="4" s="1"/>
  <c r="N25" i="4"/>
  <c r="N24" i="4"/>
  <c r="N23" i="4"/>
  <c r="N22" i="4"/>
  <c r="N21" i="4"/>
  <c r="N20" i="4"/>
  <c r="O20" i="4" s="1"/>
  <c r="P20" i="4" s="1"/>
  <c r="Q20" i="4" s="1"/>
  <c r="R20" i="4" s="1"/>
  <c r="S20" i="4" s="1"/>
  <c r="T20" i="4" s="1"/>
  <c r="U20" i="4" s="1"/>
  <c r="V20" i="4" s="1"/>
  <c r="W20" i="4" s="1"/>
  <c r="X20" i="4" s="1"/>
  <c r="Y20" i="4" s="1"/>
  <c r="Z20" i="4" s="1"/>
  <c r="AA20" i="4" s="1"/>
  <c r="AB20" i="4" s="1"/>
  <c r="AC20" i="4" s="1"/>
  <c r="AD20" i="4" s="1"/>
  <c r="AE20" i="4" s="1"/>
  <c r="AF20" i="4" s="1"/>
  <c r="AG20" i="4" s="1"/>
  <c r="AH20" i="4" s="1"/>
  <c r="AI20" i="4" s="1"/>
  <c r="AJ20" i="4" s="1"/>
  <c r="AK20" i="4" s="1"/>
  <c r="AL20" i="4" s="1"/>
  <c r="AM20" i="4" s="1"/>
  <c r="AN20" i="4" s="1"/>
  <c r="N19" i="4"/>
  <c r="N18" i="4"/>
  <c r="AN40" i="3"/>
  <c r="AM40" i="3"/>
  <c r="AL40" i="3"/>
  <c r="AK40" i="3"/>
  <c r="AJ40" i="3"/>
  <c r="AI40" i="3"/>
  <c r="AH40" i="3"/>
  <c r="AG40" i="3"/>
  <c r="AF40" i="3"/>
  <c r="AE40" i="3"/>
  <c r="AD40" i="3"/>
  <c r="AC40" i="3"/>
  <c r="AB40" i="3"/>
  <c r="AA40" i="3"/>
  <c r="Z40" i="3"/>
  <c r="Y40" i="3"/>
  <c r="X40" i="3"/>
  <c r="W40" i="3"/>
  <c r="V40" i="3"/>
  <c r="U40" i="3"/>
  <c r="T40" i="3"/>
  <c r="S40" i="3"/>
  <c r="R40" i="3"/>
  <c r="Q40" i="3"/>
  <c r="P40" i="3"/>
  <c r="O40" i="3"/>
  <c r="N45" i="4" l="1"/>
  <c r="N142" i="4" l="1"/>
  <c r="L142" i="4"/>
  <c r="L81" i="4"/>
  <c r="N81" i="4" s="1"/>
  <c r="L20" i="4"/>
  <c r="M11" i="5" l="1"/>
  <c r="M10" i="5"/>
  <c r="M9" i="5"/>
  <c r="M19" i="5"/>
  <c r="O6" i="3"/>
  <c r="P6" i="3" s="1"/>
  <c r="Q6" i="3" s="1"/>
  <c r="R6" i="3" s="1"/>
  <c r="N6" i="3"/>
  <c r="S6" i="3" l="1"/>
  <c r="T6" i="3" s="1"/>
  <c r="U6" i="3" s="1"/>
  <c r="V6" i="3" s="1"/>
  <c r="W6" i="3" s="1"/>
  <c r="X6" i="3" s="1"/>
  <c r="Y6" i="3" s="1"/>
  <c r="Z6" i="3" s="1"/>
  <c r="AA6" i="3" s="1"/>
  <c r="AB6" i="3" s="1"/>
  <c r="AC6" i="3" s="1"/>
  <c r="AD6" i="3" s="1"/>
  <c r="AE6" i="3" s="1"/>
  <c r="AF6" i="3" s="1"/>
  <c r="AG6" i="3" s="1"/>
  <c r="AH6" i="3" s="1"/>
  <c r="AI6" i="3" s="1"/>
  <c r="AJ6" i="3" s="1"/>
  <c r="AK6" i="3" s="1"/>
  <c r="AL6" i="3" s="1"/>
  <c r="AM6" i="3" s="1"/>
  <c r="AN6" i="3" s="1"/>
  <c r="R8" i="3"/>
  <c r="R9" i="3"/>
  <c r="J12" i="4"/>
  <c r="I12" i="4"/>
  <c r="H12" i="4"/>
  <c r="G12" i="4"/>
  <c r="F12" i="4"/>
  <c r="E12" i="4"/>
  <c r="J11" i="4"/>
  <c r="I11" i="4"/>
  <c r="H11" i="4"/>
  <c r="G11" i="4"/>
  <c r="F11" i="4"/>
  <c r="E11" i="4"/>
  <c r="J10" i="4"/>
  <c r="I10" i="4"/>
  <c r="H10" i="4"/>
  <c r="G10" i="4"/>
  <c r="F10" i="4"/>
  <c r="E10" i="4"/>
  <c r="J72" i="4"/>
  <c r="I72" i="4"/>
  <c r="H72" i="4"/>
  <c r="G72" i="4"/>
  <c r="F72" i="4"/>
  <c r="E72" i="4"/>
  <c r="J71" i="4"/>
  <c r="I71" i="4"/>
  <c r="H71" i="4"/>
  <c r="H70" i="4" s="1"/>
  <c r="G71" i="4"/>
  <c r="F71" i="4"/>
  <c r="E71" i="4"/>
  <c r="J73" i="4"/>
  <c r="I73" i="4"/>
  <c r="H73" i="4"/>
  <c r="G73" i="4"/>
  <c r="F73" i="4"/>
  <c r="E73" i="4"/>
  <c r="G9" i="4" l="1"/>
  <c r="I9" i="4"/>
  <c r="F70" i="4"/>
  <c r="F9" i="4"/>
  <c r="J9" i="4"/>
  <c r="E70" i="4"/>
  <c r="E9" i="4"/>
  <c r="H9" i="4"/>
  <c r="G70" i="4"/>
  <c r="J70" i="4"/>
  <c r="I70" i="4"/>
  <c r="K134" i="4"/>
  <c r="J134" i="4"/>
  <c r="I134" i="4"/>
  <c r="H134" i="4"/>
  <c r="G134" i="4"/>
  <c r="F134" i="4"/>
  <c r="E134" i="4"/>
  <c r="K133" i="4"/>
  <c r="J133" i="4"/>
  <c r="I133" i="4"/>
  <c r="H133" i="4"/>
  <c r="G133" i="4"/>
  <c r="F133" i="4"/>
  <c r="E133" i="4"/>
  <c r="K132" i="4"/>
  <c r="J132" i="4"/>
  <c r="I132" i="4"/>
  <c r="H132" i="4"/>
  <c r="G132" i="4"/>
  <c r="F132" i="4"/>
  <c r="E132" i="4"/>
  <c r="N147" i="4"/>
  <c r="N146" i="4"/>
  <c r="N145" i="4"/>
  <c r="N144" i="4"/>
  <c r="N143" i="4"/>
  <c r="N141" i="4"/>
  <c r="N140" i="4"/>
  <c r="N139" i="4"/>
  <c r="K129" i="4"/>
  <c r="J129" i="4"/>
  <c r="I129" i="4"/>
  <c r="H129" i="4"/>
  <c r="G129" i="4"/>
  <c r="F129" i="4"/>
  <c r="J68" i="4"/>
  <c r="I68" i="4"/>
  <c r="H68" i="4"/>
  <c r="G68" i="4"/>
  <c r="F68" i="4"/>
  <c r="J7" i="4"/>
  <c r="I7" i="4"/>
  <c r="H7" i="4"/>
  <c r="G7" i="4"/>
  <c r="F7" i="4"/>
  <c r="H131" i="4" l="1"/>
  <c r="J131" i="4"/>
  <c r="F131" i="4"/>
  <c r="K131" i="4"/>
  <c r="E131" i="4"/>
  <c r="I131" i="4"/>
  <c r="G131" i="4"/>
  <c r="N98" i="4" l="1"/>
  <c r="N97" i="4"/>
  <c r="N96" i="4"/>
  <c r="N95" i="4"/>
  <c r="N94" i="4"/>
  <c r="N123" i="4"/>
  <c r="N122" i="4"/>
  <c r="N121" i="4"/>
  <c r="N120" i="4"/>
  <c r="N119" i="4"/>
  <c r="N118" i="4"/>
  <c r="N117" i="4"/>
  <c r="N116" i="4"/>
  <c r="N115" i="4"/>
  <c r="N114" i="4"/>
  <c r="N113" i="4"/>
  <c r="N112" i="4"/>
  <c r="N111" i="4"/>
  <c r="N110" i="4"/>
  <c r="N109" i="4"/>
  <c r="N103" i="4"/>
  <c r="N100" i="4"/>
  <c r="O100" i="4" s="1"/>
  <c r="P100" i="4" s="1"/>
  <c r="Q100" i="4" s="1"/>
  <c r="R100" i="4" s="1"/>
  <c r="S100" i="4" s="1"/>
  <c r="T100" i="4" s="1"/>
  <c r="U100" i="4" s="1"/>
  <c r="V100" i="4" s="1"/>
  <c r="W100" i="4" s="1"/>
  <c r="X100" i="4" s="1"/>
  <c r="Y100" i="4" s="1"/>
  <c r="Z100" i="4" s="1"/>
  <c r="AA100" i="4" s="1"/>
  <c r="AB100" i="4" s="1"/>
  <c r="AC100" i="4" s="1"/>
  <c r="AD100" i="4" s="1"/>
  <c r="AE100" i="4" s="1"/>
  <c r="AF100" i="4" s="1"/>
  <c r="AG100" i="4" s="1"/>
  <c r="AH100" i="4" s="1"/>
  <c r="AI100" i="4" s="1"/>
  <c r="AJ100" i="4" s="1"/>
  <c r="AK100" i="4" s="1"/>
  <c r="AL100" i="4" s="1"/>
  <c r="AM100" i="4" s="1"/>
  <c r="AN100" i="4" s="1"/>
  <c r="N88" i="4"/>
  <c r="O88" i="4" s="1"/>
  <c r="N80" i="4"/>
  <c r="N79" i="4"/>
  <c r="N106" i="4" l="1"/>
  <c r="O178" i="4" l="1"/>
  <c r="O170" i="4"/>
  <c r="N159" i="4"/>
  <c r="N158" i="4"/>
  <c r="N157" i="4"/>
  <c r="N156" i="4"/>
  <c r="N155" i="4"/>
  <c r="N149" i="4"/>
  <c r="N184" i="4"/>
  <c r="O184" i="4" s="1"/>
  <c r="N183" i="4"/>
  <c r="O183" i="4" s="1"/>
  <c r="N182" i="4"/>
  <c r="O182" i="4" s="1"/>
  <c r="N181" i="4"/>
  <c r="O181" i="4" s="1"/>
  <c r="N180" i="4"/>
  <c r="O180" i="4" s="1"/>
  <c r="N179" i="4"/>
  <c r="O179" i="4" s="1"/>
  <c r="N178" i="4"/>
  <c r="N177" i="4"/>
  <c r="O177" i="4" s="1"/>
  <c r="N176" i="4"/>
  <c r="O176" i="4" s="1"/>
  <c r="N175" i="4"/>
  <c r="O175" i="4" s="1"/>
  <c r="N174" i="4"/>
  <c r="O174" i="4" s="1"/>
  <c r="N173" i="4"/>
  <c r="O173" i="4" s="1"/>
  <c r="N172" i="4"/>
  <c r="O172" i="4" s="1"/>
  <c r="N171" i="4"/>
  <c r="O171" i="4" s="1"/>
  <c r="N170" i="4"/>
  <c r="N161" i="4"/>
  <c r="O161" i="4" s="1"/>
  <c r="N164" i="4"/>
  <c r="O164" i="4" s="1"/>
  <c r="P164" i="4" s="1"/>
  <c r="Q164" i="4" s="1"/>
  <c r="R164" i="4" s="1"/>
  <c r="S164" i="4" s="1"/>
  <c r="T164" i="4" s="1"/>
  <c r="U164" i="4" s="1"/>
  <c r="V164" i="4" s="1"/>
  <c r="W164" i="4" s="1"/>
  <c r="X164" i="4" s="1"/>
  <c r="Y164" i="4" s="1"/>
  <c r="Z164" i="4" s="1"/>
  <c r="AA164" i="4" s="1"/>
  <c r="AB164" i="4" s="1"/>
  <c r="AC164" i="4" s="1"/>
  <c r="AD164" i="4" s="1"/>
  <c r="AE164" i="4" s="1"/>
  <c r="AF164" i="4" s="1"/>
  <c r="AG164" i="4" s="1"/>
  <c r="AH164" i="4" s="1"/>
  <c r="AI164" i="4" s="1"/>
  <c r="AJ164" i="4" s="1"/>
  <c r="AK164" i="4" s="1"/>
  <c r="AL164" i="4" s="1"/>
  <c r="AM164" i="4" s="1"/>
  <c r="AN164" i="4" s="1"/>
  <c r="O141" i="4"/>
  <c r="P141" i="4" s="1"/>
  <c r="Q141" i="4" s="1"/>
  <c r="R141" i="4" s="1"/>
  <c r="S141" i="4" s="1"/>
  <c r="T141" i="4" s="1"/>
  <c r="U141" i="4" s="1"/>
  <c r="V141" i="4" s="1"/>
  <c r="W141" i="4" s="1"/>
  <c r="X141" i="4" s="1"/>
  <c r="Y141" i="4" s="1"/>
  <c r="Z141" i="4" s="1"/>
  <c r="AA141" i="4" s="1"/>
  <c r="AB141" i="4" s="1"/>
  <c r="AC141" i="4" s="1"/>
  <c r="AD141" i="4" s="1"/>
  <c r="AE141" i="4" s="1"/>
  <c r="AF141" i="4" s="1"/>
  <c r="AG141" i="4" s="1"/>
  <c r="AH141" i="4" s="1"/>
  <c r="AI141" i="4" s="1"/>
  <c r="AJ141" i="4" s="1"/>
  <c r="AK141" i="4" s="1"/>
  <c r="AL141" i="4" s="1"/>
  <c r="AM141" i="4" s="1"/>
  <c r="AN141" i="4" s="1"/>
  <c r="O140" i="4"/>
  <c r="O142" i="4"/>
  <c r="P142" i="4" s="1"/>
  <c r="Q142" i="4" s="1"/>
  <c r="R142" i="4" s="1"/>
  <c r="S142" i="4" s="1"/>
  <c r="T142" i="4" s="1"/>
  <c r="U142" i="4" s="1"/>
  <c r="V142" i="4" s="1"/>
  <c r="W142" i="4" s="1"/>
  <c r="X142" i="4" s="1"/>
  <c r="Y142" i="4" s="1"/>
  <c r="Z142" i="4" s="1"/>
  <c r="AA142" i="4" s="1"/>
  <c r="AB142" i="4" s="1"/>
  <c r="AC142" i="4" s="1"/>
  <c r="AD142" i="4" s="1"/>
  <c r="AE142" i="4" s="1"/>
  <c r="AF142" i="4" s="1"/>
  <c r="AG142" i="4" s="1"/>
  <c r="AH142" i="4" s="1"/>
  <c r="AI142" i="4" s="1"/>
  <c r="AJ142" i="4" s="1"/>
  <c r="AK142" i="4" s="1"/>
  <c r="AL142" i="4" s="1"/>
  <c r="AM142" i="4" s="1"/>
  <c r="AN142" i="4" s="1"/>
  <c r="N34" i="11"/>
  <c r="N30" i="11"/>
  <c r="M30" i="11"/>
  <c r="N26" i="11"/>
  <c r="M26" i="11"/>
  <c r="O18" i="11"/>
  <c r="N18" i="11"/>
  <c r="M18" i="11"/>
  <c r="M6" i="11"/>
  <c r="N6" i="11" s="1"/>
  <c r="O6" i="11" s="1"/>
  <c r="P6" i="11" s="1"/>
  <c r="Q6" i="11" s="1"/>
  <c r="R6" i="11" s="1"/>
  <c r="S6" i="11" s="1"/>
  <c r="T6" i="11" s="1"/>
  <c r="U6" i="11" s="1"/>
  <c r="V6" i="11" s="1"/>
  <c r="W6" i="11" s="1"/>
  <c r="X6" i="11" s="1"/>
  <c r="Y6" i="11" s="1"/>
  <c r="Z6" i="11" s="1"/>
  <c r="AA6" i="11" s="1"/>
  <c r="AB6" i="11" s="1"/>
  <c r="AC6" i="11" s="1"/>
  <c r="AD6" i="11" s="1"/>
  <c r="AE6" i="11" s="1"/>
  <c r="AF6" i="11" s="1"/>
  <c r="AG6" i="11" s="1"/>
  <c r="AH6" i="11" s="1"/>
  <c r="AI6" i="11" s="1"/>
  <c r="AJ6" i="11" s="1"/>
  <c r="AK6" i="11" s="1"/>
  <c r="AL6" i="11" s="1"/>
  <c r="AM6" i="11" s="1"/>
  <c r="AN6" i="11" s="1"/>
  <c r="O123" i="4"/>
  <c r="P123" i="4" s="1"/>
  <c r="Q123" i="4" s="1"/>
  <c r="R123" i="4" s="1"/>
  <c r="S123" i="4" s="1"/>
  <c r="T123" i="4" s="1"/>
  <c r="U123" i="4" s="1"/>
  <c r="V123" i="4" s="1"/>
  <c r="W123" i="4" s="1"/>
  <c r="X123" i="4" s="1"/>
  <c r="Y123" i="4" s="1"/>
  <c r="Z123" i="4" s="1"/>
  <c r="AA123" i="4" s="1"/>
  <c r="AB123" i="4" s="1"/>
  <c r="AC123" i="4" s="1"/>
  <c r="AD123" i="4" s="1"/>
  <c r="AE123" i="4" s="1"/>
  <c r="AF123" i="4" s="1"/>
  <c r="AG123" i="4" s="1"/>
  <c r="AH123" i="4" s="1"/>
  <c r="AI123" i="4" s="1"/>
  <c r="AJ123" i="4" s="1"/>
  <c r="AK123" i="4" s="1"/>
  <c r="AL123" i="4" s="1"/>
  <c r="AM123" i="4" s="1"/>
  <c r="AN123" i="4" s="1"/>
  <c r="O122" i="4"/>
  <c r="P122" i="4" s="1"/>
  <c r="Q122" i="4" s="1"/>
  <c r="R122" i="4" s="1"/>
  <c r="S122" i="4" s="1"/>
  <c r="T122" i="4" s="1"/>
  <c r="U122" i="4" s="1"/>
  <c r="V122" i="4" s="1"/>
  <c r="W122" i="4" s="1"/>
  <c r="X122" i="4" s="1"/>
  <c r="Y122" i="4" s="1"/>
  <c r="Z122" i="4" s="1"/>
  <c r="AA122" i="4" s="1"/>
  <c r="AB122" i="4" s="1"/>
  <c r="AC122" i="4" s="1"/>
  <c r="AD122" i="4" s="1"/>
  <c r="AE122" i="4" s="1"/>
  <c r="AF122" i="4" s="1"/>
  <c r="AG122" i="4" s="1"/>
  <c r="AH122" i="4" s="1"/>
  <c r="AI122" i="4" s="1"/>
  <c r="AJ122" i="4" s="1"/>
  <c r="AK122" i="4" s="1"/>
  <c r="AL122" i="4" s="1"/>
  <c r="AM122" i="4" s="1"/>
  <c r="AN122" i="4" s="1"/>
  <c r="O121" i="4"/>
  <c r="P121" i="4" s="1"/>
  <c r="Q121" i="4" s="1"/>
  <c r="R121" i="4" s="1"/>
  <c r="S121" i="4" s="1"/>
  <c r="T121" i="4" s="1"/>
  <c r="U121" i="4" s="1"/>
  <c r="V121" i="4" s="1"/>
  <c r="W121" i="4" s="1"/>
  <c r="X121" i="4" s="1"/>
  <c r="Y121" i="4" s="1"/>
  <c r="Z121" i="4" s="1"/>
  <c r="AA121" i="4" s="1"/>
  <c r="AB121" i="4" s="1"/>
  <c r="AC121" i="4" s="1"/>
  <c r="AD121" i="4" s="1"/>
  <c r="AE121" i="4" s="1"/>
  <c r="AF121" i="4" s="1"/>
  <c r="AG121" i="4" s="1"/>
  <c r="AH121" i="4" s="1"/>
  <c r="AI121" i="4" s="1"/>
  <c r="AJ121" i="4" s="1"/>
  <c r="AK121" i="4" s="1"/>
  <c r="AL121" i="4" s="1"/>
  <c r="AM121" i="4" s="1"/>
  <c r="AN121" i="4" s="1"/>
  <c r="O120" i="4"/>
  <c r="P120" i="4" s="1"/>
  <c r="Q120" i="4" s="1"/>
  <c r="R120" i="4" s="1"/>
  <c r="S120" i="4" s="1"/>
  <c r="T120" i="4" s="1"/>
  <c r="U120" i="4" s="1"/>
  <c r="V120" i="4" s="1"/>
  <c r="W120" i="4" s="1"/>
  <c r="X120" i="4" s="1"/>
  <c r="Y120" i="4" s="1"/>
  <c r="Z120" i="4" s="1"/>
  <c r="AA120" i="4" s="1"/>
  <c r="AB120" i="4" s="1"/>
  <c r="AC120" i="4" s="1"/>
  <c r="AD120" i="4" s="1"/>
  <c r="AE120" i="4" s="1"/>
  <c r="AF120" i="4" s="1"/>
  <c r="AG120" i="4" s="1"/>
  <c r="AH120" i="4" s="1"/>
  <c r="AI120" i="4" s="1"/>
  <c r="AJ120" i="4" s="1"/>
  <c r="AK120" i="4" s="1"/>
  <c r="AL120" i="4" s="1"/>
  <c r="AM120" i="4" s="1"/>
  <c r="AN120" i="4" s="1"/>
  <c r="O119" i="4"/>
  <c r="P119" i="4" s="1"/>
  <c r="Q119" i="4" s="1"/>
  <c r="R119" i="4" s="1"/>
  <c r="S119" i="4" s="1"/>
  <c r="T119" i="4" s="1"/>
  <c r="U119" i="4" s="1"/>
  <c r="V119" i="4" s="1"/>
  <c r="W119" i="4" s="1"/>
  <c r="X119" i="4" s="1"/>
  <c r="Y119" i="4" s="1"/>
  <c r="Z119" i="4" s="1"/>
  <c r="AA119" i="4" s="1"/>
  <c r="AB119" i="4" s="1"/>
  <c r="AC119" i="4" s="1"/>
  <c r="AD119" i="4" s="1"/>
  <c r="AE119" i="4" s="1"/>
  <c r="AF119" i="4" s="1"/>
  <c r="AG119" i="4" s="1"/>
  <c r="AH119" i="4" s="1"/>
  <c r="AI119" i="4" s="1"/>
  <c r="AJ119" i="4" s="1"/>
  <c r="AK119" i="4" s="1"/>
  <c r="AL119" i="4" s="1"/>
  <c r="AM119" i="4" s="1"/>
  <c r="AN119" i="4" s="1"/>
  <c r="O118" i="4"/>
  <c r="P118" i="4" s="1"/>
  <c r="Q118" i="4" s="1"/>
  <c r="R118" i="4" s="1"/>
  <c r="S118" i="4" s="1"/>
  <c r="T118" i="4" s="1"/>
  <c r="U118" i="4" s="1"/>
  <c r="V118" i="4" s="1"/>
  <c r="W118" i="4" s="1"/>
  <c r="X118" i="4" s="1"/>
  <c r="Y118" i="4" s="1"/>
  <c r="Z118" i="4" s="1"/>
  <c r="AA118" i="4" s="1"/>
  <c r="AB118" i="4" s="1"/>
  <c r="AC118" i="4" s="1"/>
  <c r="AD118" i="4" s="1"/>
  <c r="AE118" i="4" s="1"/>
  <c r="AF118" i="4" s="1"/>
  <c r="AG118" i="4" s="1"/>
  <c r="AH118" i="4" s="1"/>
  <c r="AI118" i="4" s="1"/>
  <c r="AJ118" i="4" s="1"/>
  <c r="AK118" i="4" s="1"/>
  <c r="AL118" i="4" s="1"/>
  <c r="AM118" i="4" s="1"/>
  <c r="AN118" i="4" s="1"/>
  <c r="O117" i="4"/>
  <c r="P117" i="4" s="1"/>
  <c r="Q117" i="4" s="1"/>
  <c r="R117" i="4" s="1"/>
  <c r="S117" i="4" s="1"/>
  <c r="T117" i="4" s="1"/>
  <c r="U117" i="4" s="1"/>
  <c r="V117" i="4" s="1"/>
  <c r="W117" i="4" s="1"/>
  <c r="X117" i="4" s="1"/>
  <c r="Y117" i="4" s="1"/>
  <c r="Z117" i="4" s="1"/>
  <c r="AA117" i="4" s="1"/>
  <c r="AB117" i="4" s="1"/>
  <c r="AC117" i="4" s="1"/>
  <c r="AD117" i="4" s="1"/>
  <c r="AE117" i="4" s="1"/>
  <c r="AF117" i="4" s="1"/>
  <c r="AG117" i="4" s="1"/>
  <c r="AH117" i="4" s="1"/>
  <c r="AI117" i="4" s="1"/>
  <c r="AJ117" i="4" s="1"/>
  <c r="AK117" i="4" s="1"/>
  <c r="AL117" i="4" s="1"/>
  <c r="AM117" i="4" s="1"/>
  <c r="AN117" i="4" s="1"/>
  <c r="O116" i="4"/>
  <c r="P116" i="4" s="1"/>
  <c r="Q116" i="4" s="1"/>
  <c r="R116" i="4" s="1"/>
  <c r="S116" i="4" s="1"/>
  <c r="T116" i="4" s="1"/>
  <c r="U116" i="4" s="1"/>
  <c r="V116" i="4" s="1"/>
  <c r="W116" i="4" s="1"/>
  <c r="X116" i="4" s="1"/>
  <c r="Y116" i="4" s="1"/>
  <c r="Z116" i="4" s="1"/>
  <c r="AA116" i="4" s="1"/>
  <c r="AB116" i="4" s="1"/>
  <c r="AC116" i="4" s="1"/>
  <c r="AD116" i="4" s="1"/>
  <c r="AE116" i="4" s="1"/>
  <c r="AF116" i="4" s="1"/>
  <c r="AG116" i="4" s="1"/>
  <c r="AH116" i="4" s="1"/>
  <c r="AI116" i="4" s="1"/>
  <c r="AJ116" i="4" s="1"/>
  <c r="AK116" i="4" s="1"/>
  <c r="AL116" i="4" s="1"/>
  <c r="AM116" i="4" s="1"/>
  <c r="AN116" i="4" s="1"/>
  <c r="O115" i="4"/>
  <c r="P115" i="4" s="1"/>
  <c r="Q115" i="4" s="1"/>
  <c r="R115" i="4" s="1"/>
  <c r="S115" i="4" s="1"/>
  <c r="T115" i="4" s="1"/>
  <c r="U115" i="4" s="1"/>
  <c r="V115" i="4" s="1"/>
  <c r="W115" i="4" s="1"/>
  <c r="X115" i="4" s="1"/>
  <c r="Y115" i="4" s="1"/>
  <c r="Z115" i="4" s="1"/>
  <c r="AA115" i="4" s="1"/>
  <c r="AB115" i="4" s="1"/>
  <c r="AC115" i="4" s="1"/>
  <c r="AD115" i="4" s="1"/>
  <c r="AE115" i="4" s="1"/>
  <c r="AF115" i="4" s="1"/>
  <c r="AG115" i="4" s="1"/>
  <c r="AH115" i="4" s="1"/>
  <c r="AI115" i="4" s="1"/>
  <c r="AJ115" i="4" s="1"/>
  <c r="AK115" i="4" s="1"/>
  <c r="AL115" i="4" s="1"/>
  <c r="AM115" i="4" s="1"/>
  <c r="AN115" i="4" s="1"/>
  <c r="O114" i="4"/>
  <c r="P114" i="4" s="1"/>
  <c r="Q114" i="4" s="1"/>
  <c r="R114" i="4" s="1"/>
  <c r="S114" i="4" s="1"/>
  <c r="T114" i="4" s="1"/>
  <c r="U114" i="4" s="1"/>
  <c r="V114" i="4" s="1"/>
  <c r="W114" i="4" s="1"/>
  <c r="X114" i="4" s="1"/>
  <c r="Y114" i="4" s="1"/>
  <c r="Z114" i="4" s="1"/>
  <c r="AA114" i="4" s="1"/>
  <c r="AB114" i="4" s="1"/>
  <c r="AC114" i="4" s="1"/>
  <c r="AD114" i="4" s="1"/>
  <c r="AE114" i="4" s="1"/>
  <c r="AF114" i="4" s="1"/>
  <c r="AG114" i="4" s="1"/>
  <c r="AH114" i="4" s="1"/>
  <c r="AI114" i="4" s="1"/>
  <c r="AJ114" i="4" s="1"/>
  <c r="AK114" i="4" s="1"/>
  <c r="AL114" i="4" s="1"/>
  <c r="AM114" i="4" s="1"/>
  <c r="AN114" i="4" s="1"/>
  <c r="O113" i="4"/>
  <c r="P113" i="4" s="1"/>
  <c r="Q113" i="4" s="1"/>
  <c r="R113" i="4" s="1"/>
  <c r="S113" i="4" s="1"/>
  <c r="T113" i="4" s="1"/>
  <c r="U113" i="4" s="1"/>
  <c r="V113" i="4" s="1"/>
  <c r="W113" i="4" s="1"/>
  <c r="X113" i="4" s="1"/>
  <c r="Y113" i="4" s="1"/>
  <c r="Z113" i="4" s="1"/>
  <c r="AA113" i="4" s="1"/>
  <c r="AB113" i="4" s="1"/>
  <c r="AC113" i="4" s="1"/>
  <c r="AD113" i="4" s="1"/>
  <c r="AE113" i="4" s="1"/>
  <c r="AF113" i="4" s="1"/>
  <c r="AG113" i="4" s="1"/>
  <c r="AH113" i="4" s="1"/>
  <c r="AI113" i="4" s="1"/>
  <c r="AJ113" i="4" s="1"/>
  <c r="AK113" i="4" s="1"/>
  <c r="AL113" i="4" s="1"/>
  <c r="AM113" i="4" s="1"/>
  <c r="AN113" i="4" s="1"/>
  <c r="O112" i="4"/>
  <c r="P112" i="4" s="1"/>
  <c r="Q112" i="4" s="1"/>
  <c r="R112" i="4" s="1"/>
  <c r="S112" i="4" s="1"/>
  <c r="T112" i="4" s="1"/>
  <c r="U112" i="4" s="1"/>
  <c r="V112" i="4" s="1"/>
  <c r="W112" i="4" s="1"/>
  <c r="X112" i="4" s="1"/>
  <c r="Y112" i="4" s="1"/>
  <c r="Z112" i="4" s="1"/>
  <c r="AA112" i="4" s="1"/>
  <c r="AB112" i="4" s="1"/>
  <c r="AC112" i="4" s="1"/>
  <c r="AD112" i="4" s="1"/>
  <c r="AE112" i="4" s="1"/>
  <c r="AF112" i="4" s="1"/>
  <c r="AG112" i="4" s="1"/>
  <c r="AH112" i="4" s="1"/>
  <c r="AI112" i="4" s="1"/>
  <c r="AJ112" i="4" s="1"/>
  <c r="AK112" i="4" s="1"/>
  <c r="AL112" i="4" s="1"/>
  <c r="AM112" i="4" s="1"/>
  <c r="AN112" i="4" s="1"/>
  <c r="O111" i="4"/>
  <c r="P111" i="4" s="1"/>
  <c r="Q111" i="4" s="1"/>
  <c r="R111" i="4" s="1"/>
  <c r="S111" i="4" s="1"/>
  <c r="T111" i="4" s="1"/>
  <c r="U111" i="4" s="1"/>
  <c r="V111" i="4" s="1"/>
  <c r="W111" i="4" s="1"/>
  <c r="X111" i="4" s="1"/>
  <c r="Y111" i="4" s="1"/>
  <c r="Z111" i="4" s="1"/>
  <c r="AA111" i="4" s="1"/>
  <c r="AB111" i="4" s="1"/>
  <c r="AC111" i="4" s="1"/>
  <c r="AD111" i="4" s="1"/>
  <c r="AE111" i="4" s="1"/>
  <c r="AF111" i="4" s="1"/>
  <c r="AG111" i="4" s="1"/>
  <c r="AH111" i="4" s="1"/>
  <c r="AI111" i="4" s="1"/>
  <c r="AJ111" i="4" s="1"/>
  <c r="AK111" i="4" s="1"/>
  <c r="AL111" i="4" s="1"/>
  <c r="AM111" i="4" s="1"/>
  <c r="AN111" i="4" s="1"/>
  <c r="O110" i="4"/>
  <c r="P110" i="4" s="1"/>
  <c r="Q110" i="4" s="1"/>
  <c r="R110" i="4" s="1"/>
  <c r="S110" i="4" s="1"/>
  <c r="T110" i="4" s="1"/>
  <c r="U110" i="4" s="1"/>
  <c r="V110" i="4" s="1"/>
  <c r="W110" i="4" s="1"/>
  <c r="X110" i="4" s="1"/>
  <c r="Y110" i="4" s="1"/>
  <c r="Z110" i="4" s="1"/>
  <c r="AA110" i="4" s="1"/>
  <c r="AB110" i="4" s="1"/>
  <c r="AC110" i="4" s="1"/>
  <c r="AD110" i="4" s="1"/>
  <c r="AE110" i="4" s="1"/>
  <c r="AF110" i="4" s="1"/>
  <c r="AG110" i="4" s="1"/>
  <c r="AH110" i="4" s="1"/>
  <c r="AI110" i="4" s="1"/>
  <c r="AJ110" i="4" s="1"/>
  <c r="AK110" i="4" s="1"/>
  <c r="AL110" i="4" s="1"/>
  <c r="AM110" i="4" s="1"/>
  <c r="AN110" i="4" s="1"/>
  <c r="O109" i="4"/>
  <c r="P109" i="4" s="1"/>
  <c r="M34" i="11"/>
  <c r="L106" i="4"/>
  <c r="K106" i="4"/>
  <c r="K67" i="4" s="1"/>
  <c r="J106" i="4"/>
  <c r="I106" i="4"/>
  <c r="H106" i="4"/>
  <c r="G106" i="4"/>
  <c r="G67" i="4" s="1"/>
  <c r="F106" i="4"/>
  <c r="F67" i="4" s="1"/>
  <c r="E106" i="4"/>
  <c r="O98" i="4"/>
  <c r="P98" i="4" s="1"/>
  <c r="Q98" i="4" s="1"/>
  <c r="R98" i="4" s="1"/>
  <c r="S98" i="4" s="1"/>
  <c r="T98" i="4" s="1"/>
  <c r="U98" i="4" s="1"/>
  <c r="V98" i="4" s="1"/>
  <c r="W98" i="4" s="1"/>
  <c r="X98" i="4" s="1"/>
  <c r="Y98" i="4" s="1"/>
  <c r="Z98" i="4" s="1"/>
  <c r="AA98" i="4" s="1"/>
  <c r="AB98" i="4" s="1"/>
  <c r="AC98" i="4" s="1"/>
  <c r="AD98" i="4" s="1"/>
  <c r="AE98" i="4" s="1"/>
  <c r="AF98" i="4" s="1"/>
  <c r="AG98" i="4" s="1"/>
  <c r="AH98" i="4" s="1"/>
  <c r="AI98" i="4" s="1"/>
  <c r="AJ98" i="4" s="1"/>
  <c r="AK98" i="4" s="1"/>
  <c r="AL98" i="4" s="1"/>
  <c r="AM98" i="4" s="1"/>
  <c r="AN98" i="4" s="1"/>
  <c r="O97" i="4"/>
  <c r="P97" i="4" s="1"/>
  <c r="Q97" i="4" s="1"/>
  <c r="R97" i="4" s="1"/>
  <c r="S97" i="4" s="1"/>
  <c r="T97" i="4" s="1"/>
  <c r="U97" i="4" s="1"/>
  <c r="V97" i="4" s="1"/>
  <c r="W97" i="4" s="1"/>
  <c r="X97" i="4" s="1"/>
  <c r="Y97" i="4" s="1"/>
  <c r="Z97" i="4" s="1"/>
  <c r="AA97" i="4" s="1"/>
  <c r="AB97" i="4" s="1"/>
  <c r="AC97" i="4" s="1"/>
  <c r="AD97" i="4" s="1"/>
  <c r="AE97" i="4" s="1"/>
  <c r="AF97" i="4" s="1"/>
  <c r="AG97" i="4" s="1"/>
  <c r="AH97" i="4" s="1"/>
  <c r="AI97" i="4" s="1"/>
  <c r="AJ97" i="4" s="1"/>
  <c r="AK97" i="4" s="1"/>
  <c r="AL97" i="4" s="1"/>
  <c r="AM97" i="4" s="1"/>
  <c r="AN97" i="4" s="1"/>
  <c r="O95" i="4"/>
  <c r="P95" i="4" s="1"/>
  <c r="Q95" i="4" s="1"/>
  <c r="R95" i="4" s="1"/>
  <c r="S95" i="4" s="1"/>
  <c r="T95" i="4" s="1"/>
  <c r="U95" i="4" s="1"/>
  <c r="V95" i="4" s="1"/>
  <c r="W95" i="4" s="1"/>
  <c r="X95" i="4" s="1"/>
  <c r="Y95" i="4" s="1"/>
  <c r="Z95" i="4" s="1"/>
  <c r="AA95" i="4" s="1"/>
  <c r="AB95" i="4" s="1"/>
  <c r="AC95" i="4" s="1"/>
  <c r="AD95" i="4" s="1"/>
  <c r="AE95" i="4" s="1"/>
  <c r="AF95" i="4" s="1"/>
  <c r="AG95" i="4" s="1"/>
  <c r="AH95" i="4" s="1"/>
  <c r="AI95" i="4" s="1"/>
  <c r="AJ95" i="4" s="1"/>
  <c r="AK95" i="4" s="1"/>
  <c r="AL95" i="4" s="1"/>
  <c r="AM95" i="4" s="1"/>
  <c r="AN95" i="4" s="1"/>
  <c r="O94" i="4"/>
  <c r="P94" i="4" s="1"/>
  <c r="Q94" i="4" s="1"/>
  <c r="R94" i="4" s="1"/>
  <c r="S94" i="4" s="1"/>
  <c r="T94" i="4" s="1"/>
  <c r="U94" i="4" s="1"/>
  <c r="V94" i="4" s="1"/>
  <c r="W94" i="4" s="1"/>
  <c r="X94" i="4" s="1"/>
  <c r="Y94" i="4" s="1"/>
  <c r="Z94" i="4" s="1"/>
  <c r="AA94" i="4" s="1"/>
  <c r="AB94" i="4" s="1"/>
  <c r="AC94" i="4" s="1"/>
  <c r="AD94" i="4" s="1"/>
  <c r="AE94" i="4" s="1"/>
  <c r="AF94" i="4" s="1"/>
  <c r="AG94" i="4" s="1"/>
  <c r="AH94" i="4" s="1"/>
  <c r="AI94" i="4" s="1"/>
  <c r="AJ94" i="4" s="1"/>
  <c r="AK94" i="4" s="1"/>
  <c r="AL94" i="4" s="1"/>
  <c r="AM94" i="4" s="1"/>
  <c r="AN94" i="4" s="1"/>
  <c r="L94" i="4"/>
  <c r="M22" i="11"/>
  <c r="P88" i="4"/>
  <c r="L86" i="4"/>
  <c r="N86" i="4" s="1"/>
  <c r="O86" i="4" s="1"/>
  <c r="P86" i="4" s="1"/>
  <c r="Q86" i="4" s="1"/>
  <c r="R86" i="4" s="1"/>
  <c r="S86" i="4" s="1"/>
  <c r="T86" i="4" s="1"/>
  <c r="U86" i="4" s="1"/>
  <c r="V86" i="4" s="1"/>
  <c r="W86" i="4" s="1"/>
  <c r="X86" i="4" s="1"/>
  <c r="Y86" i="4" s="1"/>
  <c r="Z86" i="4" s="1"/>
  <c r="AA86" i="4" s="1"/>
  <c r="AB86" i="4" s="1"/>
  <c r="AC86" i="4" s="1"/>
  <c r="AD86" i="4" s="1"/>
  <c r="AE86" i="4" s="1"/>
  <c r="AF86" i="4" s="1"/>
  <c r="AG86" i="4" s="1"/>
  <c r="AH86" i="4" s="1"/>
  <c r="AI86" i="4" s="1"/>
  <c r="AJ86" i="4" s="1"/>
  <c r="AK86" i="4" s="1"/>
  <c r="AL86" i="4" s="1"/>
  <c r="AM86" i="4" s="1"/>
  <c r="AN86" i="4" s="1"/>
  <c r="L85" i="4"/>
  <c r="L84" i="4"/>
  <c r="L83" i="4"/>
  <c r="L82" i="4"/>
  <c r="N82" i="4" s="1"/>
  <c r="O81" i="4"/>
  <c r="P81" i="4" s="1"/>
  <c r="Q81" i="4" s="1"/>
  <c r="R81" i="4" s="1"/>
  <c r="S81" i="4" s="1"/>
  <c r="T81" i="4" s="1"/>
  <c r="U81" i="4" s="1"/>
  <c r="V81" i="4" s="1"/>
  <c r="W81" i="4" s="1"/>
  <c r="X81" i="4" s="1"/>
  <c r="Y81" i="4" s="1"/>
  <c r="Z81" i="4" s="1"/>
  <c r="AA81" i="4" s="1"/>
  <c r="AB81" i="4" s="1"/>
  <c r="AC81" i="4" s="1"/>
  <c r="AD81" i="4" s="1"/>
  <c r="AE81" i="4" s="1"/>
  <c r="AF81" i="4" s="1"/>
  <c r="AG81" i="4" s="1"/>
  <c r="AH81" i="4" s="1"/>
  <c r="AI81" i="4" s="1"/>
  <c r="AJ81" i="4" s="1"/>
  <c r="AK81" i="4" s="1"/>
  <c r="AL81" i="4" s="1"/>
  <c r="AM81" i="4" s="1"/>
  <c r="AN81" i="4" s="1"/>
  <c r="O80" i="4"/>
  <c r="P80" i="4" s="1"/>
  <c r="Q80" i="4" s="1"/>
  <c r="R80" i="4" s="1"/>
  <c r="S80" i="4" s="1"/>
  <c r="T80" i="4" s="1"/>
  <c r="U80" i="4" s="1"/>
  <c r="V80" i="4" s="1"/>
  <c r="W80" i="4" s="1"/>
  <c r="X80" i="4" s="1"/>
  <c r="Y80" i="4" s="1"/>
  <c r="Z80" i="4" s="1"/>
  <c r="AA80" i="4" s="1"/>
  <c r="AB80" i="4" s="1"/>
  <c r="AC80" i="4" s="1"/>
  <c r="AD80" i="4" s="1"/>
  <c r="AE80" i="4" s="1"/>
  <c r="AF80" i="4" s="1"/>
  <c r="AG80" i="4" s="1"/>
  <c r="AH80" i="4" s="1"/>
  <c r="AI80" i="4" s="1"/>
  <c r="AJ80" i="4" s="1"/>
  <c r="AK80" i="4" s="1"/>
  <c r="AL80" i="4" s="1"/>
  <c r="AM80" i="4" s="1"/>
  <c r="AN80" i="4" s="1"/>
  <c r="O79" i="4"/>
  <c r="P79" i="4" s="1"/>
  <c r="Q79" i="4" s="1"/>
  <c r="R79" i="4" s="1"/>
  <c r="S79" i="4" s="1"/>
  <c r="T79" i="4" s="1"/>
  <c r="U79" i="4" s="1"/>
  <c r="V79" i="4" s="1"/>
  <c r="W79" i="4" s="1"/>
  <c r="X79" i="4" s="1"/>
  <c r="Y79" i="4" s="1"/>
  <c r="Z79" i="4" s="1"/>
  <c r="AA79" i="4" s="1"/>
  <c r="AB79" i="4" s="1"/>
  <c r="AC79" i="4" s="1"/>
  <c r="AD79" i="4" s="1"/>
  <c r="AE79" i="4" s="1"/>
  <c r="AF79" i="4" s="1"/>
  <c r="AG79" i="4" s="1"/>
  <c r="AH79" i="4" s="1"/>
  <c r="AI79" i="4" s="1"/>
  <c r="AJ79" i="4" s="1"/>
  <c r="AK79" i="4" s="1"/>
  <c r="AL79" i="4" s="1"/>
  <c r="AM79" i="4" s="1"/>
  <c r="AN79" i="4" s="1"/>
  <c r="L78" i="4"/>
  <c r="N78" i="4" s="1"/>
  <c r="J67" i="4"/>
  <c r="I67" i="4"/>
  <c r="I76" i="4" s="1"/>
  <c r="H67" i="4"/>
  <c r="H76" i="4" s="1"/>
  <c r="N167" i="4" l="1"/>
  <c r="Q109" i="4"/>
  <c r="R109" i="4" s="1"/>
  <c r="S109" i="4" s="1"/>
  <c r="T109" i="4" s="1"/>
  <c r="U109" i="4" s="1"/>
  <c r="V109" i="4" s="1"/>
  <c r="W109" i="4" s="1"/>
  <c r="X109" i="4" s="1"/>
  <c r="Y109" i="4" s="1"/>
  <c r="Z109" i="4" s="1"/>
  <c r="AA109" i="4" s="1"/>
  <c r="AB109" i="4" s="1"/>
  <c r="AC109" i="4" s="1"/>
  <c r="AD109" i="4" s="1"/>
  <c r="AE109" i="4" s="1"/>
  <c r="AF109" i="4" s="1"/>
  <c r="AG109" i="4" s="1"/>
  <c r="AH109" i="4" s="1"/>
  <c r="AI109" i="4" s="1"/>
  <c r="AJ109" i="4" s="1"/>
  <c r="AK109" i="4" s="1"/>
  <c r="AL109" i="4" s="1"/>
  <c r="AM109" i="4" s="1"/>
  <c r="AN109" i="4" s="1"/>
  <c r="Q88" i="4"/>
  <c r="R88" i="4" s="1"/>
  <c r="S88" i="4" s="1"/>
  <c r="T88" i="4" s="1"/>
  <c r="U88" i="4" s="1"/>
  <c r="V88" i="4" s="1"/>
  <c r="W88" i="4" s="1"/>
  <c r="X88" i="4" s="1"/>
  <c r="Y88" i="4" s="1"/>
  <c r="Z88" i="4" s="1"/>
  <c r="AA88" i="4" s="1"/>
  <c r="AB88" i="4" s="1"/>
  <c r="AC88" i="4" s="1"/>
  <c r="AD88" i="4" s="1"/>
  <c r="AE88" i="4" s="1"/>
  <c r="AF88" i="4" s="1"/>
  <c r="AG88" i="4" s="1"/>
  <c r="AH88" i="4" s="1"/>
  <c r="AI88" i="4" s="1"/>
  <c r="AJ88" i="4" s="1"/>
  <c r="AK88" i="4" s="1"/>
  <c r="AL88" i="4" s="1"/>
  <c r="AM88" i="4" s="1"/>
  <c r="AN88" i="4" s="1"/>
  <c r="K71" i="4"/>
  <c r="K73" i="4"/>
  <c r="K72" i="4"/>
  <c r="K68" i="4"/>
  <c r="F92" i="4"/>
  <c r="F76" i="4"/>
  <c r="F89" i="4"/>
  <c r="L75" i="4"/>
  <c r="L67" i="4" s="1"/>
  <c r="N152" i="4"/>
  <c r="N83" i="4"/>
  <c r="O83" i="4" s="1"/>
  <c r="P83" i="4" s="1"/>
  <c r="Q83" i="4" s="1"/>
  <c r="R83" i="4" s="1"/>
  <c r="S83" i="4" s="1"/>
  <c r="T83" i="4" s="1"/>
  <c r="U83" i="4" s="1"/>
  <c r="V83" i="4" s="1"/>
  <c r="W83" i="4" s="1"/>
  <c r="X83" i="4" s="1"/>
  <c r="Y83" i="4" s="1"/>
  <c r="Z83" i="4" s="1"/>
  <c r="AA83" i="4" s="1"/>
  <c r="AB83" i="4" s="1"/>
  <c r="AC83" i="4" s="1"/>
  <c r="AD83" i="4" s="1"/>
  <c r="AE83" i="4" s="1"/>
  <c r="AF83" i="4" s="1"/>
  <c r="AG83" i="4" s="1"/>
  <c r="AH83" i="4" s="1"/>
  <c r="AI83" i="4" s="1"/>
  <c r="AJ83" i="4" s="1"/>
  <c r="AK83" i="4" s="1"/>
  <c r="AL83" i="4" s="1"/>
  <c r="AM83" i="4" s="1"/>
  <c r="AN83" i="4" s="1"/>
  <c r="N84" i="4"/>
  <c r="O84" i="4" s="1"/>
  <c r="P84" i="4" s="1"/>
  <c r="Q84" i="4" s="1"/>
  <c r="R84" i="4" s="1"/>
  <c r="S84" i="4" s="1"/>
  <c r="T84" i="4" s="1"/>
  <c r="U84" i="4" s="1"/>
  <c r="V84" i="4" s="1"/>
  <c r="W84" i="4" s="1"/>
  <c r="X84" i="4" s="1"/>
  <c r="Y84" i="4" s="1"/>
  <c r="Z84" i="4" s="1"/>
  <c r="AA84" i="4" s="1"/>
  <c r="AB84" i="4" s="1"/>
  <c r="AC84" i="4" s="1"/>
  <c r="AD84" i="4" s="1"/>
  <c r="AE84" i="4" s="1"/>
  <c r="AF84" i="4" s="1"/>
  <c r="AG84" i="4" s="1"/>
  <c r="AH84" i="4" s="1"/>
  <c r="AI84" i="4" s="1"/>
  <c r="AJ84" i="4" s="1"/>
  <c r="AK84" i="4" s="1"/>
  <c r="AL84" i="4" s="1"/>
  <c r="AM84" i="4" s="1"/>
  <c r="AN84" i="4" s="1"/>
  <c r="N85" i="4"/>
  <c r="O85" i="4" s="1"/>
  <c r="P85" i="4" s="1"/>
  <c r="Q85" i="4" s="1"/>
  <c r="R85" i="4" s="1"/>
  <c r="S85" i="4" s="1"/>
  <c r="T85" i="4" s="1"/>
  <c r="U85" i="4" s="1"/>
  <c r="V85" i="4" s="1"/>
  <c r="W85" i="4" s="1"/>
  <c r="X85" i="4" s="1"/>
  <c r="Y85" i="4" s="1"/>
  <c r="Z85" i="4" s="1"/>
  <c r="AA85" i="4" s="1"/>
  <c r="AB85" i="4" s="1"/>
  <c r="AC85" i="4" s="1"/>
  <c r="AD85" i="4" s="1"/>
  <c r="AE85" i="4" s="1"/>
  <c r="AF85" i="4" s="1"/>
  <c r="AG85" i="4" s="1"/>
  <c r="AH85" i="4" s="1"/>
  <c r="AI85" i="4" s="1"/>
  <c r="AJ85" i="4" s="1"/>
  <c r="AK85" i="4" s="1"/>
  <c r="AL85" i="4" s="1"/>
  <c r="AM85" i="4" s="1"/>
  <c r="AN85" i="4" s="1"/>
  <c r="Q106" i="4"/>
  <c r="Q26" i="11"/>
  <c r="R26" i="11"/>
  <c r="O26" i="11"/>
  <c r="P26" i="11"/>
  <c r="O167" i="4"/>
  <c r="P140" i="4"/>
  <c r="Q140" i="4" s="1"/>
  <c r="R140" i="4" s="1"/>
  <c r="S140" i="4" s="1"/>
  <c r="P18" i="11"/>
  <c r="O106" i="4"/>
  <c r="O34" i="11" s="1"/>
  <c r="O82" i="4"/>
  <c r="P82" i="4" s="1"/>
  <c r="Q82" i="4" s="1"/>
  <c r="R82" i="4" s="1"/>
  <c r="S82" i="4" s="1"/>
  <c r="T82" i="4" s="1"/>
  <c r="U82" i="4" s="1"/>
  <c r="V82" i="4" s="1"/>
  <c r="W82" i="4" s="1"/>
  <c r="X82" i="4" s="1"/>
  <c r="Y82" i="4" s="1"/>
  <c r="Z82" i="4" s="1"/>
  <c r="AA82" i="4" s="1"/>
  <c r="AB82" i="4" s="1"/>
  <c r="AC82" i="4" s="1"/>
  <c r="AD82" i="4" s="1"/>
  <c r="AE82" i="4" s="1"/>
  <c r="AF82" i="4" s="1"/>
  <c r="AG82" i="4" s="1"/>
  <c r="AH82" i="4" s="1"/>
  <c r="AI82" i="4" s="1"/>
  <c r="AJ82" i="4" s="1"/>
  <c r="AK82" i="4" s="1"/>
  <c r="AL82" i="4" s="1"/>
  <c r="AM82" i="4" s="1"/>
  <c r="AN82" i="4" s="1"/>
  <c r="J92" i="4"/>
  <c r="J89" i="4"/>
  <c r="J101" i="4"/>
  <c r="J104" i="4"/>
  <c r="J76" i="4"/>
  <c r="O78" i="4"/>
  <c r="E67" i="4"/>
  <c r="E107" i="4" s="1"/>
  <c r="R18" i="11"/>
  <c r="G104" i="4"/>
  <c r="G101" i="4"/>
  <c r="G89" i="4"/>
  <c r="G92" i="4"/>
  <c r="H101" i="4"/>
  <c r="H107" i="4"/>
  <c r="H104" i="4"/>
  <c r="H89" i="4"/>
  <c r="H92" i="4"/>
  <c r="I92" i="4"/>
  <c r="I89" i="4"/>
  <c r="I101" i="4"/>
  <c r="I107" i="4"/>
  <c r="I104" i="4"/>
  <c r="G76" i="4"/>
  <c r="O103" i="4"/>
  <c r="O30" i="11" s="1"/>
  <c r="F107" i="4"/>
  <c r="K92" i="4"/>
  <c r="K101" i="4"/>
  <c r="K104" i="4"/>
  <c r="N91" i="4"/>
  <c r="N22" i="11" s="1"/>
  <c r="O96" i="4"/>
  <c r="P96" i="4" s="1"/>
  <c r="Q96" i="4" s="1"/>
  <c r="R96" i="4" s="1"/>
  <c r="S96" i="4" s="1"/>
  <c r="T96" i="4" s="1"/>
  <c r="U96" i="4" s="1"/>
  <c r="V96" i="4" s="1"/>
  <c r="W96" i="4" s="1"/>
  <c r="X96" i="4" s="1"/>
  <c r="Y96" i="4" s="1"/>
  <c r="Z96" i="4" s="1"/>
  <c r="AA96" i="4" s="1"/>
  <c r="AB96" i="4" s="1"/>
  <c r="AC96" i="4" s="1"/>
  <c r="AD96" i="4" s="1"/>
  <c r="AE96" i="4" s="1"/>
  <c r="AF96" i="4" s="1"/>
  <c r="AG96" i="4" s="1"/>
  <c r="AH96" i="4" s="1"/>
  <c r="AI96" i="4" s="1"/>
  <c r="AJ96" i="4" s="1"/>
  <c r="AK96" i="4" s="1"/>
  <c r="AL96" i="4" s="1"/>
  <c r="AM96" i="4" s="1"/>
  <c r="AN96" i="4" s="1"/>
  <c r="S26" i="11"/>
  <c r="G107" i="4"/>
  <c r="K76" i="4"/>
  <c r="K89" i="4"/>
  <c r="F101" i="4"/>
  <c r="F104" i="4"/>
  <c r="K107" i="4"/>
  <c r="T140" i="4" l="1"/>
  <c r="U140" i="4" s="1"/>
  <c r="V140" i="4" s="1"/>
  <c r="W140" i="4" s="1"/>
  <c r="X140" i="4" s="1"/>
  <c r="Y140" i="4" s="1"/>
  <c r="Z140" i="4" s="1"/>
  <c r="AA140" i="4" s="1"/>
  <c r="AB140" i="4" s="1"/>
  <c r="AC140" i="4" s="1"/>
  <c r="AD140" i="4" s="1"/>
  <c r="AE140" i="4" s="1"/>
  <c r="AF140" i="4" s="1"/>
  <c r="AG140" i="4" s="1"/>
  <c r="AH140" i="4" s="1"/>
  <c r="AI140" i="4" s="1"/>
  <c r="AJ140" i="4" s="1"/>
  <c r="AK140" i="4" s="1"/>
  <c r="AL140" i="4" s="1"/>
  <c r="AM140" i="4" s="1"/>
  <c r="AN140" i="4" s="1"/>
  <c r="Q18" i="11"/>
  <c r="K70" i="4"/>
  <c r="L107" i="4"/>
  <c r="L72" i="4"/>
  <c r="L71" i="4"/>
  <c r="L73" i="4"/>
  <c r="L68" i="4"/>
  <c r="M14" i="11"/>
  <c r="M67" i="4"/>
  <c r="N75" i="4"/>
  <c r="N14" i="11" s="1"/>
  <c r="R106" i="4"/>
  <c r="S18" i="11"/>
  <c r="L101" i="4"/>
  <c r="L104" i="4"/>
  <c r="L89" i="4"/>
  <c r="L92" i="4"/>
  <c r="L76" i="4"/>
  <c r="T26" i="11"/>
  <c r="P103" i="4"/>
  <c r="P78" i="4"/>
  <c r="Q78" i="4" s="1"/>
  <c r="R78" i="4" s="1"/>
  <c r="S78" i="4" s="1"/>
  <c r="T78" i="4" s="1"/>
  <c r="U78" i="4" s="1"/>
  <c r="V78" i="4" s="1"/>
  <c r="W78" i="4" s="1"/>
  <c r="X78" i="4" s="1"/>
  <c r="Y78" i="4" s="1"/>
  <c r="Z78" i="4" s="1"/>
  <c r="AA78" i="4" s="1"/>
  <c r="AB78" i="4" s="1"/>
  <c r="AC78" i="4" s="1"/>
  <c r="AD78" i="4" s="1"/>
  <c r="AE78" i="4" s="1"/>
  <c r="AF78" i="4" s="1"/>
  <c r="AG78" i="4" s="1"/>
  <c r="AH78" i="4" s="1"/>
  <c r="AI78" i="4" s="1"/>
  <c r="AJ78" i="4" s="1"/>
  <c r="AK78" i="4" s="1"/>
  <c r="AL78" i="4" s="1"/>
  <c r="AM78" i="4" s="1"/>
  <c r="AN78" i="4" s="1"/>
  <c r="O75" i="4"/>
  <c r="O14" i="11" s="1"/>
  <c r="P106" i="4"/>
  <c r="P34" i="11" s="1"/>
  <c r="O91" i="4"/>
  <c r="O22" i="11" s="1"/>
  <c r="E104" i="4"/>
  <c r="E92" i="4"/>
  <c r="E89" i="4"/>
  <c r="E101" i="4"/>
  <c r="E76" i="4"/>
  <c r="L22" i="11"/>
  <c r="L11" i="3"/>
  <c r="L10" i="3"/>
  <c r="L9" i="3"/>
  <c r="P30" i="11" l="1"/>
  <c r="Q103" i="4"/>
  <c r="M104" i="4"/>
  <c r="M101" i="4"/>
  <c r="M89" i="4"/>
  <c r="M92" i="4"/>
  <c r="M76" i="4"/>
  <c r="M107" i="4"/>
  <c r="L70" i="4"/>
  <c r="M73" i="4"/>
  <c r="M71" i="4"/>
  <c r="M72" i="4"/>
  <c r="M68" i="4"/>
  <c r="N67" i="4"/>
  <c r="N68" i="4" s="1"/>
  <c r="S106" i="4"/>
  <c r="P91" i="4"/>
  <c r="P22" i="11" s="1"/>
  <c r="U26" i="11"/>
  <c r="O67" i="4"/>
  <c r="T18" i="11"/>
  <c r="Q34" i="11"/>
  <c r="P75" i="4"/>
  <c r="P14" i="11" s="1"/>
  <c r="O9" i="3"/>
  <c r="O11" i="3"/>
  <c r="P11" i="3"/>
  <c r="O10" i="3"/>
  <c r="L11" i="11"/>
  <c r="L10" i="11"/>
  <c r="L9" i="11"/>
  <c r="L8" i="11"/>
  <c r="L6" i="11"/>
  <c r="K152" i="4"/>
  <c r="N30" i="3"/>
  <c r="M30" i="3"/>
  <c r="M26" i="3"/>
  <c r="N22" i="3"/>
  <c r="M22" i="3"/>
  <c r="M18" i="3"/>
  <c r="L30" i="3"/>
  <c r="L26" i="3"/>
  <c r="L18" i="3"/>
  <c r="P184" i="4"/>
  <c r="Q184" i="4" s="1"/>
  <c r="R184" i="4" s="1"/>
  <c r="S184" i="4" s="1"/>
  <c r="T184" i="4" s="1"/>
  <c r="U184" i="4" s="1"/>
  <c r="V184" i="4" s="1"/>
  <c r="W184" i="4" s="1"/>
  <c r="X184" i="4" s="1"/>
  <c r="Y184" i="4" s="1"/>
  <c r="Z184" i="4" s="1"/>
  <c r="AA184" i="4" s="1"/>
  <c r="AB184" i="4" s="1"/>
  <c r="AC184" i="4" s="1"/>
  <c r="AD184" i="4" s="1"/>
  <c r="AE184" i="4" s="1"/>
  <c r="AF184" i="4" s="1"/>
  <c r="AG184" i="4" s="1"/>
  <c r="AH184" i="4" s="1"/>
  <c r="AI184" i="4" s="1"/>
  <c r="AJ184" i="4" s="1"/>
  <c r="AK184" i="4" s="1"/>
  <c r="AL184" i="4" s="1"/>
  <c r="AM184" i="4" s="1"/>
  <c r="AN184" i="4" s="1"/>
  <c r="P179" i="4"/>
  <c r="Q179" i="4" s="1"/>
  <c r="R179" i="4" s="1"/>
  <c r="S179" i="4" s="1"/>
  <c r="T179" i="4" s="1"/>
  <c r="U179" i="4" s="1"/>
  <c r="V179" i="4" s="1"/>
  <c r="W179" i="4" s="1"/>
  <c r="X179" i="4" s="1"/>
  <c r="Y179" i="4" s="1"/>
  <c r="Z179" i="4" s="1"/>
  <c r="AA179" i="4" s="1"/>
  <c r="AB179" i="4" s="1"/>
  <c r="AC179" i="4" s="1"/>
  <c r="AD179" i="4" s="1"/>
  <c r="AE179" i="4" s="1"/>
  <c r="AF179" i="4" s="1"/>
  <c r="AG179" i="4" s="1"/>
  <c r="AH179" i="4" s="1"/>
  <c r="AI179" i="4" s="1"/>
  <c r="AJ179" i="4" s="1"/>
  <c r="AK179" i="4" s="1"/>
  <c r="AL179" i="4" s="1"/>
  <c r="AM179" i="4" s="1"/>
  <c r="AN179" i="4" s="1"/>
  <c r="P175" i="4"/>
  <c r="Q175" i="4" s="1"/>
  <c r="R175" i="4" s="1"/>
  <c r="S175" i="4" s="1"/>
  <c r="T175" i="4" s="1"/>
  <c r="U175" i="4" s="1"/>
  <c r="V175" i="4" s="1"/>
  <c r="W175" i="4" s="1"/>
  <c r="X175" i="4" s="1"/>
  <c r="Y175" i="4" s="1"/>
  <c r="Z175" i="4" s="1"/>
  <c r="AA175" i="4" s="1"/>
  <c r="AB175" i="4" s="1"/>
  <c r="AC175" i="4" s="1"/>
  <c r="AD175" i="4" s="1"/>
  <c r="AE175" i="4" s="1"/>
  <c r="AF175" i="4" s="1"/>
  <c r="AG175" i="4" s="1"/>
  <c r="AH175" i="4" s="1"/>
  <c r="AI175" i="4" s="1"/>
  <c r="AJ175" i="4" s="1"/>
  <c r="AK175" i="4" s="1"/>
  <c r="AL175" i="4" s="1"/>
  <c r="AM175" i="4" s="1"/>
  <c r="AN175" i="4" s="1"/>
  <c r="P174" i="4"/>
  <c r="Q174" i="4" s="1"/>
  <c r="R174" i="4" s="1"/>
  <c r="S174" i="4" s="1"/>
  <c r="T174" i="4" s="1"/>
  <c r="U174" i="4" s="1"/>
  <c r="V174" i="4" s="1"/>
  <c r="W174" i="4" s="1"/>
  <c r="X174" i="4" s="1"/>
  <c r="Y174" i="4" s="1"/>
  <c r="Z174" i="4" s="1"/>
  <c r="AA174" i="4" s="1"/>
  <c r="AB174" i="4" s="1"/>
  <c r="AC174" i="4" s="1"/>
  <c r="AD174" i="4" s="1"/>
  <c r="AE174" i="4" s="1"/>
  <c r="AF174" i="4" s="1"/>
  <c r="AG174" i="4" s="1"/>
  <c r="AH174" i="4" s="1"/>
  <c r="AI174" i="4" s="1"/>
  <c r="AJ174" i="4" s="1"/>
  <c r="AK174" i="4" s="1"/>
  <c r="AL174" i="4" s="1"/>
  <c r="AM174" i="4" s="1"/>
  <c r="AN174" i="4" s="1"/>
  <c r="P173" i="4"/>
  <c r="Q173" i="4" s="1"/>
  <c r="R173" i="4" s="1"/>
  <c r="S173" i="4" s="1"/>
  <c r="T173" i="4" s="1"/>
  <c r="U173" i="4" s="1"/>
  <c r="V173" i="4" s="1"/>
  <c r="W173" i="4" s="1"/>
  <c r="X173" i="4" s="1"/>
  <c r="Y173" i="4" s="1"/>
  <c r="Z173" i="4" s="1"/>
  <c r="AA173" i="4" s="1"/>
  <c r="AB173" i="4" s="1"/>
  <c r="AC173" i="4" s="1"/>
  <c r="AD173" i="4" s="1"/>
  <c r="AE173" i="4" s="1"/>
  <c r="AF173" i="4" s="1"/>
  <c r="AG173" i="4" s="1"/>
  <c r="AH173" i="4" s="1"/>
  <c r="AI173" i="4" s="1"/>
  <c r="AJ173" i="4" s="1"/>
  <c r="AK173" i="4" s="1"/>
  <c r="AL173" i="4" s="1"/>
  <c r="AM173" i="4" s="1"/>
  <c r="AN173" i="4" s="1"/>
  <c r="P172" i="4"/>
  <c r="Q172" i="4" s="1"/>
  <c r="R172" i="4" s="1"/>
  <c r="S172" i="4" s="1"/>
  <c r="T172" i="4" s="1"/>
  <c r="U172" i="4" s="1"/>
  <c r="V172" i="4" s="1"/>
  <c r="W172" i="4" s="1"/>
  <c r="X172" i="4" s="1"/>
  <c r="Y172" i="4" s="1"/>
  <c r="Z172" i="4" s="1"/>
  <c r="AA172" i="4" s="1"/>
  <c r="AB172" i="4" s="1"/>
  <c r="AC172" i="4" s="1"/>
  <c r="AD172" i="4" s="1"/>
  <c r="AE172" i="4" s="1"/>
  <c r="AF172" i="4" s="1"/>
  <c r="AG172" i="4" s="1"/>
  <c r="AH172" i="4" s="1"/>
  <c r="AI172" i="4" s="1"/>
  <c r="AJ172" i="4" s="1"/>
  <c r="AK172" i="4" s="1"/>
  <c r="AL172" i="4" s="1"/>
  <c r="AM172" i="4" s="1"/>
  <c r="AN172" i="4" s="1"/>
  <c r="P171" i="4"/>
  <c r="Q171" i="4" s="1"/>
  <c r="R171" i="4" s="1"/>
  <c r="S171" i="4" s="1"/>
  <c r="T171" i="4" s="1"/>
  <c r="U171" i="4" s="1"/>
  <c r="V171" i="4" s="1"/>
  <c r="W171" i="4" s="1"/>
  <c r="X171" i="4" s="1"/>
  <c r="Y171" i="4" s="1"/>
  <c r="Z171" i="4" s="1"/>
  <c r="AA171" i="4" s="1"/>
  <c r="AB171" i="4" s="1"/>
  <c r="AC171" i="4" s="1"/>
  <c r="AD171" i="4" s="1"/>
  <c r="AE171" i="4" s="1"/>
  <c r="AF171" i="4" s="1"/>
  <c r="AG171" i="4" s="1"/>
  <c r="AH171" i="4" s="1"/>
  <c r="AI171" i="4" s="1"/>
  <c r="AJ171" i="4" s="1"/>
  <c r="AK171" i="4" s="1"/>
  <c r="AL171" i="4" s="1"/>
  <c r="AM171" i="4" s="1"/>
  <c r="AN171" i="4" s="1"/>
  <c r="P170" i="4"/>
  <c r="L167" i="4"/>
  <c r="N26" i="3"/>
  <c r="O159" i="4"/>
  <c r="P159" i="4" s="1"/>
  <c r="Q159" i="4" s="1"/>
  <c r="R159" i="4" s="1"/>
  <c r="S159" i="4" s="1"/>
  <c r="T159" i="4" s="1"/>
  <c r="U159" i="4" s="1"/>
  <c r="V159" i="4" s="1"/>
  <c r="W159" i="4" s="1"/>
  <c r="X159" i="4" s="1"/>
  <c r="Y159" i="4" s="1"/>
  <c r="Z159" i="4" s="1"/>
  <c r="AA159" i="4" s="1"/>
  <c r="AB159" i="4" s="1"/>
  <c r="AC159" i="4" s="1"/>
  <c r="AD159" i="4" s="1"/>
  <c r="AE159" i="4" s="1"/>
  <c r="AF159" i="4" s="1"/>
  <c r="AG159" i="4" s="1"/>
  <c r="AH159" i="4" s="1"/>
  <c r="AI159" i="4" s="1"/>
  <c r="AJ159" i="4" s="1"/>
  <c r="AK159" i="4" s="1"/>
  <c r="AL159" i="4" s="1"/>
  <c r="AM159" i="4" s="1"/>
  <c r="AN159" i="4" s="1"/>
  <c r="O158" i="4"/>
  <c r="P158" i="4" s="1"/>
  <c r="Q158" i="4" s="1"/>
  <c r="R158" i="4" s="1"/>
  <c r="S158" i="4" s="1"/>
  <c r="T158" i="4" s="1"/>
  <c r="U158" i="4" s="1"/>
  <c r="V158" i="4" s="1"/>
  <c r="W158" i="4" s="1"/>
  <c r="X158" i="4" s="1"/>
  <c r="Y158" i="4" s="1"/>
  <c r="Z158" i="4" s="1"/>
  <c r="AA158" i="4" s="1"/>
  <c r="AB158" i="4" s="1"/>
  <c r="AC158" i="4" s="1"/>
  <c r="AD158" i="4" s="1"/>
  <c r="AE158" i="4" s="1"/>
  <c r="AF158" i="4" s="1"/>
  <c r="AG158" i="4" s="1"/>
  <c r="AH158" i="4" s="1"/>
  <c r="AI158" i="4" s="1"/>
  <c r="AJ158" i="4" s="1"/>
  <c r="AK158" i="4" s="1"/>
  <c r="AL158" i="4" s="1"/>
  <c r="AM158" i="4" s="1"/>
  <c r="AN158" i="4" s="1"/>
  <c r="O157" i="4"/>
  <c r="P157" i="4" s="1"/>
  <c r="Q157" i="4" s="1"/>
  <c r="R157" i="4" s="1"/>
  <c r="S157" i="4" s="1"/>
  <c r="T157" i="4" s="1"/>
  <c r="U157" i="4" s="1"/>
  <c r="V157" i="4" s="1"/>
  <c r="W157" i="4" s="1"/>
  <c r="X157" i="4" s="1"/>
  <c r="Y157" i="4" s="1"/>
  <c r="Z157" i="4" s="1"/>
  <c r="AA157" i="4" s="1"/>
  <c r="AB157" i="4" s="1"/>
  <c r="AC157" i="4" s="1"/>
  <c r="AD157" i="4" s="1"/>
  <c r="AE157" i="4" s="1"/>
  <c r="AF157" i="4" s="1"/>
  <c r="AG157" i="4" s="1"/>
  <c r="AH157" i="4" s="1"/>
  <c r="AI157" i="4" s="1"/>
  <c r="AJ157" i="4" s="1"/>
  <c r="AK157" i="4" s="1"/>
  <c r="AL157" i="4" s="1"/>
  <c r="AM157" i="4" s="1"/>
  <c r="AN157" i="4" s="1"/>
  <c r="O156" i="4"/>
  <c r="P156" i="4" s="1"/>
  <c r="Q156" i="4" s="1"/>
  <c r="R156" i="4" s="1"/>
  <c r="S156" i="4" s="1"/>
  <c r="T156" i="4" s="1"/>
  <c r="U156" i="4" s="1"/>
  <c r="V156" i="4" s="1"/>
  <c r="W156" i="4" s="1"/>
  <c r="X156" i="4" s="1"/>
  <c r="Y156" i="4" s="1"/>
  <c r="Z156" i="4" s="1"/>
  <c r="AA156" i="4" s="1"/>
  <c r="AB156" i="4" s="1"/>
  <c r="AC156" i="4" s="1"/>
  <c r="AD156" i="4" s="1"/>
  <c r="AE156" i="4" s="1"/>
  <c r="AF156" i="4" s="1"/>
  <c r="AG156" i="4" s="1"/>
  <c r="AH156" i="4" s="1"/>
  <c r="AI156" i="4" s="1"/>
  <c r="AJ156" i="4" s="1"/>
  <c r="AK156" i="4" s="1"/>
  <c r="AL156" i="4" s="1"/>
  <c r="AM156" i="4" s="1"/>
  <c r="AN156" i="4" s="1"/>
  <c r="O155" i="4"/>
  <c r="L155" i="4"/>
  <c r="L152" i="4" s="1"/>
  <c r="N154" i="4"/>
  <c r="N18" i="3"/>
  <c r="L147" i="4"/>
  <c r="L146" i="4"/>
  <c r="O146" i="4" s="1"/>
  <c r="P146" i="4" s="1"/>
  <c r="Q146" i="4" s="1"/>
  <c r="R146" i="4" s="1"/>
  <c r="S146" i="4" s="1"/>
  <c r="T146" i="4" s="1"/>
  <c r="U146" i="4" s="1"/>
  <c r="V146" i="4" s="1"/>
  <c r="W146" i="4" s="1"/>
  <c r="X146" i="4" s="1"/>
  <c r="Y146" i="4" s="1"/>
  <c r="Z146" i="4" s="1"/>
  <c r="AA146" i="4" s="1"/>
  <c r="AB146" i="4" s="1"/>
  <c r="AC146" i="4" s="1"/>
  <c r="AD146" i="4" s="1"/>
  <c r="AE146" i="4" s="1"/>
  <c r="AF146" i="4" s="1"/>
  <c r="AG146" i="4" s="1"/>
  <c r="AH146" i="4" s="1"/>
  <c r="AI146" i="4" s="1"/>
  <c r="AJ146" i="4" s="1"/>
  <c r="AK146" i="4" s="1"/>
  <c r="AL146" i="4" s="1"/>
  <c r="AM146" i="4" s="1"/>
  <c r="AN146" i="4" s="1"/>
  <c r="L145" i="4"/>
  <c r="O145" i="4" s="1"/>
  <c r="P145" i="4" s="1"/>
  <c r="Q145" i="4" s="1"/>
  <c r="R145" i="4" s="1"/>
  <c r="S145" i="4" s="1"/>
  <c r="T145" i="4" s="1"/>
  <c r="U145" i="4" s="1"/>
  <c r="V145" i="4" s="1"/>
  <c r="W145" i="4" s="1"/>
  <c r="X145" i="4" s="1"/>
  <c r="Y145" i="4" s="1"/>
  <c r="Z145" i="4" s="1"/>
  <c r="AA145" i="4" s="1"/>
  <c r="AB145" i="4" s="1"/>
  <c r="AC145" i="4" s="1"/>
  <c r="AD145" i="4" s="1"/>
  <c r="AE145" i="4" s="1"/>
  <c r="AF145" i="4" s="1"/>
  <c r="AG145" i="4" s="1"/>
  <c r="AH145" i="4" s="1"/>
  <c r="AI145" i="4" s="1"/>
  <c r="AJ145" i="4" s="1"/>
  <c r="AK145" i="4" s="1"/>
  <c r="AL145" i="4" s="1"/>
  <c r="AM145" i="4" s="1"/>
  <c r="AN145" i="4" s="1"/>
  <c r="L144" i="4"/>
  <c r="O144" i="4" s="1"/>
  <c r="P144" i="4" s="1"/>
  <c r="Q144" i="4" s="1"/>
  <c r="R144" i="4" s="1"/>
  <c r="S144" i="4" s="1"/>
  <c r="T144" i="4" s="1"/>
  <c r="U144" i="4" s="1"/>
  <c r="V144" i="4" s="1"/>
  <c r="W144" i="4" s="1"/>
  <c r="X144" i="4" s="1"/>
  <c r="Y144" i="4" s="1"/>
  <c r="Z144" i="4" s="1"/>
  <c r="AA144" i="4" s="1"/>
  <c r="AB144" i="4" s="1"/>
  <c r="AC144" i="4" s="1"/>
  <c r="AD144" i="4" s="1"/>
  <c r="AE144" i="4" s="1"/>
  <c r="AF144" i="4" s="1"/>
  <c r="AG144" i="4" s="1"/>
  <c r="AH144" i="4" s="1"/>
  <c r="AI144" i="4" s="1"/>
  <c r="AJ144" i="4" s="1"/>
  <c r="AK144" i="4" s="1"/>
  <c r="AL144" i="4" s="1"/>
  <c r="AM144" i="4" s="1"/>
  <c r="AN144" i="4" s="1"/>
  <c r="L143" i="4"/>
  <c r="O143" i="4" s="1"/>
  <c r="P143" i="4" s="1"/>
  <c r="Q143" i="4" s="1"/>
  <c r="R143" i="4" s="1"/>
  <c r="S143" i="4" s="1"/>
  <c r="T143" i="4" s="1"/>
  <c r="U143" i="4" s="1"/>
  <c r="V143" i="4" s="1"/>
  <c r="W143" i="4" s="1"/>
  <c r="X143" i="4" s="1"/>
  <c r="Y143" i="4" s="1"/>
  <c r="Z143" i="4" s="1"/>
  <c r="AA143" i="4" s="1"/>
  <c r="AB143" i="4" s="1"/>
  <c r="AC143" i="4" s="1"/>
  <c r="AD143" i="4" s="1"/>
  <c r="AE143" i="4" s="1"/>
  <c r="AF143" i="4" s="1"/>
  <c r="AG143" i="4" s="1"/>
  <c r="AH143" i="4" s="1"/>
  <c r="AI143" i="4" s="1"/>
  <c r="AJ143" i="4" s="1"/>
  <c r="AK143" i="4" s="1"/>
  <c r="AL143" i="4" s="1"/>
  <c r="AM143" i="4" s="1"/>
  <c r="AN143" i="4" s="1"/>
  <c r="L139" i="4"/>
  <c r="L18" i="11"/>
  <c r="L26" i="11"/>
  <c r="L30" i="11"/>
  <c r="M18" i="2"/>
  <c r="Q30" i="11" l="1"/>
  <c r="R103" i="4"/>
  <c r="S103" i="4" s="1"/>
  <c r="T103" i="4" s="1"/>
  <c r="U103" i="4" s="1"/>
  <c r="V103" i="4" s="1"/>
  <c r="W103" i="4" s="1"/>
  <c r="X103" i="4" s="1"/>
  <c r="Y103" i="4" s="1"/>
  <c r="Z103" i="4" s="1"/>
  <c r="AA103" i="4" s="1"/>
  <c r="AB103" i="4" s="1"/>
  <c r="AC103" i="4" s="1"/>
  <c r="AD103" i="4" s="1"/>
  <c r="AE103" i="4" s="1"/>
  <c r="AF103" i="4" s="1"/>
  <c r="AG103" i="4" s="1"/>
  <c r="AH103" i="4" s="1"/>
  <c r="AI103" i="4" s="1"/>
  <c r="AJ103" i="4" s="1"/>
  <c r="AK103" i="4" s="1"/>
  <c r="AL103" i="4" s="1"/>
  <c r="AM103" i="4" s="1"/>
  <c r="AN103" i="4" s="1"/>
  <c r="N89" i="4"/>
  <c r="N76" i="4"/>
  <c r="N101" i="4"/>
  <c r="N104" i="4"/>
  <c r="N107" i="4"/>
  <c r="M70" i="4"/>
  <c r="O71" i="4"/>
  <c r="O73" i="4"/>
  <c r="O72" i="4"/>
  <c r="N71" i="4"/>
  <c r="N73" i="4"/>
  <c r="N72" i="4"/>
  <c r="N92" i="4"/>
  <c r="P8" i="3"/>
  <c r="O76" i="4"/>
  <c r="O68" i="4"/>
  <c r="O147" i="4"/>
  <c r="P147" i="4" s="1"/>
  <c r="Q147" i="4" s="1"/>
  <c r="R147" i="4" s="1"/>
  <c r="S147" i="4" s="1"/>
  <c r="T147" i="4" s="1"/>
  <c r="U147" i="4" s="1"/>
  <c r="V147" i="4" s="1"/>
  <c r="W147" i="4" s="1"/>
  <c r="X147" i="4" s="1"/>
  <c r="Y147" i="4" s="1"/>
  <c r="Z147" i="4" s="1"/>
  <c r="AA147" i="4" s="1"/>
  <c r="AB147" i="4" s="1"/>
  <c r="AC147" i="4" s="1"/>
  <c r="AD147" i="4" s="1"/>
  <c r="AE147" i="4" s="1"/>
  <c r="AF147" i="4" s="1"/>
  <c r="AG147" i="4" s="1"/>
  <c r="AH147" i="4" s="1"/>
  <c r="AI147" i="4" s="1"/>
  <c r="AJ147" i="4" s="1"/>
  <c r="AK147" i="4" s="1"/>
  <c r="AL147" i="4" s="1"/>
  <c r="AM147" i="4" s="1"/>
  <c r="AN147" i="4" s="1"/>
  <c r="T30" i="3"/>
  <c r="T106" i="4"/>
  <c r="Q170" i="4"/>
  <c r="R170" i="4" s="1"/>
  <c r="S170" i="4" s="1"/>
  <c r="T170" i="4" s="1"/>
  <c r="U170" i="4" s="1"/>
  <c r="V170" i="4" s="1"/>
  <c r="W170" i="4" s="1"/>
  <c r="X170" i="4" s="1"/>
  <c r="Y170" i="4" s="1"/>
  <c r="Z170" i="4" s="1"/>
  <c r="AA170" i="4" s="1"/>
  <c r="AB170" i="4" s="1"/>
  <c r="AC170" i="4" s="1"/>
  <c r="AD170" i="4" s="1"/>
  <c r="AE170" i="4" s="1"/>
  <c r="AF170" i="4" s="1"/>
  <c r="AG170" i="4" s="1"/>
  <c r="AH170" i="4" s="1"/>
  <c r="AI170" i="4" s="1"/>
  <c r="AJ170" i="4" s="1"/>
  <c r="AK170" i="4" s="1"/>
  <c r="AL170" i="4" s="1"/>
  <c r="AM170" i="4" s="1"/>
  <c r="AN170" i="4" s="1"/>
  <c r="P167" i="4"/>
  <c r="P155" i="4"/>
  <c r="O152" i="4"/>
  <c r="O22" i="3" s="1"/>
  <c r="P10" i="3"/>
  <c r="L22" i="3"/>
  <c r="L154" i="4"/>
  <c r="Q75" i="4"/>
  <c r="Q14" i="11" s="1"/>
  <c r="L136" i="4"/>
  <c r="L14" i="3" s="1"/>
  <c r="M34" i="3"/>
  <c r="P67" i="4"/>
  <c r="R34" i="11"/>
  <c r="V26" i="11"/>
  <c r="U18" i="11"/>
  <c r="R30" i="11"/>
  <c r="O101" i="4"/>
  <c r="O89" i="4"/>
  <c r="O104" i="4"/>
  <c r="O107" i="4"/>
  <c r="O92" i="4"/>
  <c r="Q91" i="4"/>
  <c r="Q22" i="11" s="1"/>
  <c r="P9" i="3"/>
  <c r="Q30" i="3"/>
  <c r="O30" i="3"/>
  <c r="R30" i="3"/>
  <c r="P30" i="3"/>
  <c r="S30" i="3"/>
  <c r="O149" i="4"/>
  <c r="O18" i="3" s="1"/>
  <c r="O154" i="4"/>
  <c r="N70" i="4" l="1"/>
  <c r="P68" i="4"/>
  <c r="P73" i="4"/>
  <c r="P72" i="4"/>
  <c r="P71" i="4"/>
  <c r="O70" i="4"/>
  <c r="M128" i="4"/>
  <c r="U106" i="4"/>
  <c r="Q167" i="4"/>
  <c r="Q155" i="4"/>
  <c r="R155" i="4" s="1"/>
  <c r="S155" i="4" s="1"/>
  <c r="T155" i="4" s="1"/>
  <c r="U155" i="4" s="1"/>
  <c r="V155" i="4" s="1"/>
  <c r="W155" i="4" s="1"/>
  <c r="X155" i="4" s="1"/>
  <c r="Y155" i="4" s="1"/>
  <c r="Z155" i="4" s="1"/>
  <c r="AA155" i="4" s="1"/>
  <c r="AB155" i="4" s="1"/>
  <c r="AC155" i="4" s="1"/>
  <c r="AD155" i="4" s="1"/>
  <c r="AE155" i="4" s="1"/>
  <c r="AF155" i="4" s="1"/>
  <c r="AG155" i="4" s="1"/>
  <c r="AH155" i="4" s="1"/>
  <c r="AI155" i="4" s="1"/>
  <c r="AJ155" i="4" s="1"/>
  <c r="AK155" i="4" s="1"/>
  <c r="AL155" i="4" s="1"/>
  <c r="AM155" i="4" s="1"/>
  <c r="AN155" i="4" s="1"/>
  <c r="P152" i="4"/>
  <c r="P22" i="3" s="1"/>
  <c r="Q9" i="3"/>
  <c r="Q10" i="3"/>
  <c r="R91" i="4"/>
  <c r="R22" i="11" s="1"/>
  <c r="W26" i="11"/>
  <c r="N34" i="3"/>
  <c r="P101" i="4"/>
  <c r="P89" i="4"/>
  <c r="P104" i="4"/>
  <c r="P107" i="4"/>
  <c r="P92" i="4"/>
  <c r="S34" i="11"/>
  <c r="R75" i="4"/>
  <c r="R14" i="11" s="1"/>
  <c r="O26" i="3"/>
  <c r="P161" i="4"/>
  <c r="Q161" i="4" s="1"/>
  <c r="R161" i="4" s="1"/>
  <c r="S161" i="4" s="1"/>
  <c r="T161" i="4" s="1"/>
  <c r="U161" i="4" s="1"/>
  <c r="V161" i="4" s="1"/>
  <c r="W161" i="4" s="1"/>
  <c r="X161" i="4" s="1"/>
  <c r="Y161" i="4" s="1"/>
  <c r="Z161" i="4" s="1"/>
  <c r="AA161" i="4" s="1"/>
  <c r="AB161" i="4" s="1"/>
  <c r="AC161" i="4" s="1"/>
  <c r="AD161" i="4" s="1"/>
  <c r="AE161" i="4" s="1"/>
  <c r="AF161" i="4" s="1"/>
  <c r="AG161" i="4" s="1"/>
  <c r="AH161" i="4" s="1"/>
  <c r="AI161" i="4" s="1"/>
  <c r="AJ161" i="4" s="1"/>
  <c r="AK161" i="4" s="1"/>
  <c r="AL161" i="4" s="1"/>
  <c r="AM161" i="4" s="1"/>
  <c r="AN161" i="4" s="1"/>
  <c r="Q67" i="4"/>
  <c r="V18" i="11"/>
  <c r="P76" i="4"/>
  <c r="Q11" i="3"/>
  <c r="Q8" i="3"/>
  <c r="R10" i="3"/>
  <c r="R11" i="3"/>
  <c r="P149" i="4"/>
  <c r="M165" i="4" l="1"/>
  <c r="M162" i="4"/>
  <c r="M153" i="4"/>
  <c r="M150" i="4"/>
  <c r="M137" i="4"/>
  <c r="M168" i="4"/>
  <c r="P70" i="4"/>
  <c r="P154" i="4"/>
  <c r="M134" i="4"/>
  <c r="M132" i="4"/>
  <c r="M133" i="4"/>
  <c r="Q73" i="4"/>
  <c r="Q72" i="4"/>
  <c r="Q71" i="4"/>
  <c r="Q92" i="4"/>
  <c r="Q68" i="4"/>
  <c r="O139" i="4"/>
  <c r="N136" i="4"/>
  <c r="M14" i="3"/>
  <c r="U30" i="3"/>
  <c r="S30" i="11"/>
  <c r="V106" i="4"/>
  <c r="R167" i="4"/>
  <c r="Q152" i="4"/>
  <c r="Q22" i="3" s="1"/>
  <c r="P26" i="3"/>
  <c r="T30" i="11"/>
  <c r="O34" i="3"/>
  <c r="S75" i="4"/>
  <c r="S14" i="11" s="1"/>
  <c r="R67" i="4"/>
  <c r="W18" i="11"/>
  <c r="X26" i="11"/>
  <c r="Q149" i="4"/>
  <c r="P18" i="3"/>
  <c r="Q101" i="4"/>
  <c r="Q89" i="4"/>
  <c r="Q107" i="4"/>
  <c r="Q104" i="4"/>
  <c r="T34" i="11"/>
  <c r="Q76" i="4"/>
  <c r="S91" i="4"/>
  <c r="S22" i="11" s="1"/>
  <c r="S11" i="3"/>
  <c r="S8" i="3"/>
  <c r="S9" i="3"/>
  <c r="S10" i="3"/>
  <c r="Q18" i="3" l="1"/>
  <c r="R149" i="4"/>
  <c r="S149" i="4" s="1"/>
  <c r="T149" i="4" s="1"/>
  <c r="U149" i="4" s="1"/>
  <c r="V149" i="4" s="1"/>
  <c r="W149" i="4" s="1"/>
  <c r="X149" i="4" s="1"/>
  <c r="Y149" i="4" s="1"/>
  <c r="Z149" i="4" s="1"/>
  <c r="AA149" i="4" s="1"/>
  <c r="AB149" i="4" s="1"/>
  <c r="AC149" i="4" s="1"/>
  <c r="AD149" i="4" s="1"/>
  <c r="AE149" i="4" s="1"/>
  <c r="AF149" i="4" s="1"/>
  <c r="AG149" i="4" s="1"/>
  <c r="AH149" i="4" s="1"/>
  <c r="AI149" i="4" s="1"/>
  <c r="AJ149" i="4" s="1"/>
  <c r="AK149" i="4" s="1"/>
  <c r="AL149" i="4" s="1"/>
  <c r="AM149" i="4" s="1"/>
  <c r="AN149" i="4" s="1"/>
  <c r="N14" i="3"/>
  <c r="N128" i="4"/>
  <c r="M131" i="4"/>
  <c r="R68" i="4"/>
  <c r="R72" i="4"/>
  <c r="R73" i="4"/>
  <c r="R71" i="4"/>
  <c r="Q70" i="4"/>
  <c r="P139" i="4"/>
  <c r="O136" i="4"/>
  <c r="V30" i="3"/>
  <c r="W106" i="4"/>
  <c r="S167" i="4"/>
  <c r="Q154" i="4"/>
  <c r="R152" i="4"/>
  <c r="R22" i="3" s="1"/>
  <c r="T75" i="4"/>
  <c r="T14" i="11" s="1"/>
  <c r="U34" i="11"/>
  <c r="P34" i="3"/>
  <c r="Y26" i="11"/>
  <c r="U30" i="11"/>
  <c r="X18" i="11"/>
  <c r="R101" i="4"/>
  <c r="R89" i="4"/>
  <c r="R104" i="4"/>
  <c r="R107" i="4"/>
  <c r="S67" i="4"/>
  <c r="T91" i="4"/>
  <c r="T22" i="11" s="1"/>
  <c r="R92" i="4"/>
  <c r="R76" i="4"/>
  <c r="Q26" i="3"/>
  <c r="T8" i="3"/>
  <c r="T11" i="3"/>
  <c r="T9" i="3"/>
  <c r="T10" i="3"/>
  <c r="R18" i="3"/>
  <c r="R70" i="4" l="1"/>
  <c r="R154" i="4"/>
  <c r="O14" i="3"/>
  <c r="O128" i="4"/>
  <c r="N132" i="4"/>
  <c r="N134" i="4"/>
  <c r="N133" i="4"/>
  <c r="N129" i="4"/>
  <c r="S72" i="4"/>
  <c r="S71" i="4"/>
  <c r="S73" i="4"/>
  <c r="S76" i="4"/>
  <c r="S68" i="4"/>
  <c r="Q139" i="4"/>
  <c r="R139" i="4" s="1"/>
  <c r="S139" i="4" s="1"/>
  <c r="P136" i="4"/>
  <c r="W30" i="3"/>
  <c r="X106" i="4"/>
  <c r="T167" i="4"/>
  <c r="S152" i="4"/>
  <c r="S22" i="3" s="1"/>
  <c r="Q34" i="3"/>
  <c r="Y18" i="11"/>
  <c r="U91" i="4"/>
  <c r="U22" i="11" s="1"/>
  <c r="V30" i="11"/>
  <c r="Z26" i="11"/>
  <c r="S101" i="4"/>
  <c r="S89" i="4"/>
  <c r="S104" i="4"/>
  <c r="S107" i="4"/>
  <c r="R26" i="3"/>
  <c r="T67" i="4"/>
  <c r="V34" i="11"/>
  <c r="S92" i="4"/>
  <c r="U75" i="4"/>
  <c r="U14" i="11" s="1"/>
  <c r="U8" i="3"/>
  <c r="U10" i="3"/>
  <c r="U9" i="3"/>
  <c r="U11" i="3"/>
  <c r="S18" i="3"/>
  <c r="T139" i="4" l="1"/>
  <c r="S136" i="4"/>
  <c r="S70" i="4"/>
  <c r="P14" i="3"/>
  <c r="P128" i="4"/>
  <c r="N131" i="4"/>
  <c r="O132" i="4"/>
  <c r="O134" i="4"/>
  <c r="O133" i="4"/>
  <c r="O129" i="4"/>
  <c r="T68" i="4"/>
  <c r="T71" i="4"/>
  <c r="T72" i="4"/>
  <c r="T73" i="4"/>
  <c r="Q136" i="4"/>
  <c r="X30" i="3"/>
  <c r="Y106" i="4"/>
  <c r="U167" i="4"/>
  <c r="S154" i="4"/>
  <c r="T152" i="4"/>
  <c r="T22" i="3" s="1"/>
  <c r="W34" i="11"/>
  <c r="Z18" i="11"/>
  <c r="V91" i="4"/>
  <c r="V22" i="11" s="1"/>
  <c r="S26" i="3"/>
  <c r="R34" i="3"/>
  <c r="T101" i="4"/>
  <c r="T89" i="4"/>
  <c r="T104" i="4"/>
  <c r="T107" i="4"/>
  <c r="T76" i="4"/>
  <c r="U67" i="4"/>
  <c r="AA26" i="11"/>
  <c r="V75" i="4"/>
  <c r="V14" i="11" s="1"/>
  <c r="W30" i="11"/>
  <c r="T92" i="4"/>
  <c r="V9" i="3"/>
  <c r="V8" i="3"/>
  <c r="V11" i="3"/>
  <c r="V10" i="3"/>
  <c r="T18" i="3"/>
  <c r="U139" i="4" l="1"/>
  <c r="T136" i="4"/>
  <c r="O131" i="4"/>
  <c r="P132" i="4"/>
  <c r="P133" i="4"/>
  <c r="P134" i="4"/>
  <c r="P129" i="4"/>
  <c r="Q14" i="3"/>
  <c r="Q128" i="4"/>
  <c r="U71" i="4"/>
  <c r="U73" i="4"/>
  <c r="U72" i="4"/>
  <c r="T70" i="4"/>
  <c r="U92" i="4"/>
  <c r="U68" i="4"/>
  <c r="R136" i="4"/>
  <c r="Y30" i="3"/>
  <c r="Z106" i="4"/>
  <c r="V167" i="4"/>
  <c r="T154" i="4"/>
  <c r="U152" i="4"/>
  <c r="U22" i="3" s="1"/>
  <c r="W75" i="4"/>
  <c r="W14" i="11" s="1"/>
  <c r="V67" i="4"/>
  <c r="S34" i="3"/>
  <c r="W91" i="4"/>
  <c r="W22" i="11" s="1"/>
  <c r="AB26" i="11"/>
  <c r="AA18" i="11"/>
  <c r="U101" i="4"/>
  <c r="U89" i="4"/>
  <c r="U104" i="4"/>
  <c r="U107" i="4"/>
  <c r="T26" i="3"/>
  <c r="X34" i="11"/>
  <c r="U76" i="4"/>
  <c r="X30" i="11"/>
  <c r="W8" i="3"/>
  <c r="W9" i="3"/>
  <c r="W11" i="3"/>
  <c r="W10" i="3"/>
  <c r="U18" i="3"/>
  <c r="U136" i="4" l="1"/>
  <c r="V139" i="4"/>
  <c r="Q134" i="4"/>
  <c r="Q133" i="4"/>
  <c r="Q132" i="4"/>
  <c r="Q129" i="4"/>
  <c r="R14" i="3"/>
  <c r="R128" i="4"/>
  <c r="P131" i="4"/>
  <c r="V71" i="4"/>
  <c r="V73" i="4"/>
  <c r="V72" i="4"/>
  <c r="U70" i="4"/>
  <c r="V92" i="4"/>
  <c r="V68" i="4"/>
  <c r="Z30" i="3"/>
  <c r="AA106" i="4"/>
  <c r="W167" i="4"/>
  <c r="U154" i="4"/>
  <c r="V152" i="4"/>
  <c r="V22" i="3" s="1"/>
  <c r="V76" i="4"/>
  <c r="Y30" i="11"/>
  <c r="T34" i="3"/>
  <c r="X91" i="4"/>
  <c r="X22" i="11" s="1"/>
  <c r="AB18" i="11"/>
  <c r="V101" i="4"/>
  <c r="V89" i="4"/>
  <c r="V104" i="4"/>
  <c r="V107" i="4"/>
  <c r="AC26" i="11"/>
  <c r="W67" i="4"/>
  <c r="Y34" i="11"/>
  <c r="U26" i="3"/>
  <c r="X75" i="4"/>
  <c r="X14" i="11" s="1"/>
  <c r="X10" i="3"/>
  <c r="X8" i="3"/>
  <c r="X11" i="3"/>
  <c r="X9" i="3"/>
  <c r="V18" i="3"/>
  <c r="V136" i="4" l="1"/>
  <c r="W139" i="4"/>
  <c r="Q131" i="4"/>
  <c r="V70" i="4"/>
  <c r="S14" i="3"/>
  <c r="S128" i="4"/>
  <c r="R134" i="4"/>
  <c r="R133" i="4"/>
  <c r="R132" i="4"/>
  <c r="R129" i="4"/>
  <c r="W68" i="4"/>
  <c r="W73" i="4"/>
  <c r="W72" i="4"/>
  <c r="W71" i="4"/>
  <c r="AA30" i="3"/>
  <c r="AB106" i="4"/>
  <c r="X167" i="4"/>
  <c r="V154" i="4"/>
  <c r="W152" i="4"/>
  <c r="W22" i="3" s="1"/>
  <c r="X67" i="4"/>
  <c r="V26" i="3"/>
  <c r="W101" i="4"/>
  <c r="W89" i="4"/>
  <c r="W107" i="4"/>
  <c r="W104" i="4"/>
  <c r="W92" i="4"/>
  <c r="Y91" i="4"/>
  <c r="Y22" i="11" s="1"/>
  <c r="U34" i="3"/>
  <c r="W76" i="4"/>
  <c r="AC18" i="11"/>
  <c r="Z34" i="11"/>
  <c r="Y75" i="4"/>
  <c r="Y14" i="11" s="1"/>
  <c r="AD26" i="11"/>
  <c r="Z30" i="11"/>
  <c r="Y9" i="3"/>
  <c r="Y11" i="3"/>
  <c r="Y8" i="3"/>
  <c r="Y10" i="3"/>
  <c r="W18" i="3"/>
  <c r="X139" i="4" l="1"/>
  <c r="W136" i="4"/>
  <c r="W70" i="4"/>
  <c r="R131" i="4"/>
  <c r="W154" i="4"/>
  <c r="T14" i="3"/>
  <c r="T128" i="4"/>
  <c r="S132" i="4"/>
  <c r="S133" i="4"/>
  <c r="S134" i="4"/>
  <c r="S129" i="4"/>
  <c r="X73" i="4"/>
  <c r="X72" i="4"/>
  <c r="X71" i="4"/>
  <c r="X76" i="4"/>
  <c r="X68" i="4"/>
  <c r="AB30" i="3"/>
  <c r="AC106" i="4"/>
  <c r="Y167" i="4"/>
  <c r="X152" i="4"/>
  <c r="X22" i="3" s="1"/>
  <c r="X92" i="4"/>
  <c r="AE26" i="11"/>
  <c r="W26" i="3"/>
  <c r="V34" i="3"/>
  <c r="Z91" i="4"/>
  <c r="Z22" i="11" s="1"/>
  <c r="Z75" i="4"/>
  <c r="Z14" i="11" s="1"/>
  <c r="AA34" i="11"/>
  <c r="AA30" i="11"/>
  <c r="AD18" i="11"/>
  <c r="Y67" i="4"/>
  <c r="X101" i="4"/>
  <c r="X89" i="4"/>
  <c r="X107" i="4"/>
  <c r="X104" i="4"/>
  <c r="Z9" i="3"/>
  <c r="Z11" i="3"/>
  <c r="Z8" i="3"/>
  <c r="Z10" i="3"/>
  <c r="X18" i="3"/>
  <c r="X136" i="4" l="1"/>
  <c r="Y139" i="4"/>
  <c r="X70" i="4"/>
  <c r="U14" i="3"/>
  <c r="U128" i="4"/>
  <c r="T133" i="4"/>
  <c r="T132" i="4"/>
  <c r="T134" i="4"/>
  <c r="T129" i="4"/>
  <c r="S131" i="4"/>
  <c r="Y68" i="4"/>
  <c r="Y73" i="4"/>
  <c r="Y72" i="4"/>
  <c r="Y71" i="4"/>
  <c r="AC30" i="3"/>
  <c r="AD106" i="4"/>
  <c r="Z167" i="4"/>
  <c r="X154" i="4"/>
  <c r="Y152" i="4"/>
  <c r="Y22" i="3" s="1"/>
  <c r="AB30" i="11"/>
  <c r="W34" i="3"/>
  <c r="Y101" i="4"/>
  <c r="Y89" i="4"/>
  <c r="Y107" i="4"/>
  <c r="Y104" i="4"/>
  <c r="Y76" i="4"/>
  <c r="AA75" i="4"/>
  <c r="AA14" i="11" s="1"/>
  <c r="Y92" i="4"/>
  <c r="AB34" i="11"/>
  <c r="X26" i="3"/>
  <c r="AE18" i="11"/>
  <c r="Z67" i="4"/>
  <c r="AA91" i="4"/>
  <c r="AA22" i="11" s="1"/>
  <c r="AF26" i="11"/>
  <c r="AA11" i="3"/>
  <c r="AA9" i="3"/>
  <c r="AA8" i="3"/>
  <c r="AA10" i="3"/>
  <c r="Y18" i="3"/>
  <c r="Y136" i="4" l="1"/>
  <c r="Z139" i="4"/>
  <c r="Y70" i="4"/>
  <c r="T131" i="4"/>
  <c r="V14" i="3"/>
  <c r="V128" i="4"/>
  <c r="U133" i="4"/>
  <c r="U129" i="4"/>
  <c r="U134" i="4"/>
  <c r="U132" i="4"/>
  <c r="Z68" i="4"/>
  <c r="Z72" i="4"/>
  <c r="Z71" i="4"/>
  <c r="Z73" i="4"/>
  <c r="AD30" i="3"/>
  <c r="AE106" i="4"/>
  <c r="AA167" i="4"/>
  <c r="Y154" i="4"/>
  <c r="Z152" i="4"/>
  <c r="Z22" i="3" s="1"/>
  <c r="AB91" i="4"/>
  <c r="AB22" i="11" s="1"/>
  <c r="Y26" i="3"/>
  <c r="AC34" i="11"/>
  <c r="Z101" i="4"/>
  <c r="Z89" i="4"/>
  <c r="Z104" i="4"/>
  <c r="Z107" i="4"/>
  <c r="Z76" i="4"/>
  <c r="AB75" i="4"/>
  <c r="AB14" i="11" s="1"/>
  <c r="AG26" i="11"/>
  <c r="AA67" i="4"/>
  <c r="AC30" i="11"/>
  <c r="X34" i="3"/>
  <c r="AF18" i="11"/>
  <c r="Z92" i="4"/>
  <c r="AB8" i="3"/>
  <c r="AB9" i="3"/>
  <c r="AB11" i="3"/>
  <c r="AB10" i="3"/>
  <c r="Z18" i="3"/>
  <c r="U131" i="4" l="1"/>
  <c r="Z136" i="4"/>
  <c r="AA139" i="4"/>
  <c r="Z154" i="4"/>
  <c r="W14" i="3"/>
  <c r="W128" i="4"/>
  <c r="V132" i="4"/>
  <c r="V129" i="4"/>
  <c r="V134" i="4"/>
  <c r="V133" i="4"/>
  <c r="Z70" i="4"/>
  <c r="AA72" i="4"/>
  <c r="AA71" i="4"/>
  <c r="AA73" i="4"/>
  <c r="AA92" i="4"/>
  <c r="AA68" i="4"/>
  <c r="AE30" i="3"/>
  <c r="AF106" i="4"/>
  <c r="AB167" i="4"/>
  <c r="AA152" i="4"/>
  <c r="AA22" i="3" s="1"/>
  <c r="AC75" i="4"/>
  <c r="AC14" i="11" s="1"/>
  <c r="Z26" i="3"/>
  <c r="AG18" i="11"/>
  <c r="AB67" i="4"/>
  <c r="AD34" i="11"/>
  <c r="AD30" i="11"/>
  <c r="AA101" i="4"/>
  <c r="AA89" i="4"/>
  <c r="AA104" i="4"/>
  <c r="AA107" i="4"/>
  <c r="AH26" i="11"/>
  <c r="Y34" i="3"/>
  <c r="AA76" i="4"/>
  <c r="AC91" i="4"/>
  <c r="AC22" i="11" s="1"/>
  <c r="AC11" i="3"/>
  <c r="AC9" i="3"/>
  <c r="AC10" i="3"/>
  <c r="AC8" i="3"/>
  <c r="AA18" i="3"/>
  <c r="AA136" i="4" l="1"/>
  <c r="AB139" i="4"/>
  <c r="AA154" i="4"/>
  <c r="AA70" i="4"/>
  <c r="V131" i="4"/>
  <c r="W132" i="4"/>
  <c r="W129" i="4"/>
  <c r="W134" i="4"/>
  <c r="W133" i="4"/>
  <c r="X14" i="3"/>
  <c r="X128" i="4"/>
  <c r="AB68" i="4"/>
  <c r="AB72" i="4"/>
  <c r="AB71" i="4"/>
  <c r="AB73" i="4"/>
  <c r="AF30" i="3"/>
  <c r="AG106" i="4"/>
  <c r="AC167" i="4"/>
  <c r="AB152" i="4"/>
  <c r="AB22" i="3" s="1"/>
  <c r="Z34" i="3"/>
  <c r="AA26" i="3"/>
  <c r="AB101" i="4"/>
  <c r="AB89" i="4"/>
  <c r="AB104" i="4"/>
  <c r="AB107" i="4"/>
  <c r="AE30" i="11"/>
  <c r="AI26" i="11"/>
  <c r="AE34" i="11"/>
  <c r="AC67" i="4"/>
  <c r="AB76" i="4"/>
  <c r="AH18" i="11"/>
  <c r="AD91" i="4"/>
  <c r="AD22" i="11" s="1"/>
  <c r="AB92" i="4"/>
  <c r="AD75" i="4"/>
  <c r="AD14" i="11" s="1"/>
  <c r="AD11" i="3"/>
  <c r="AD8" i="3"/>
  <c r="AD10" i="3"/>
  <c r="AD9" i="3"/>
  <c r="AB18" i="3"/>
  <c r="AC139" i="4" l="1"/>
  <c r="AB136" i="4"/>
  <c r="Y14" i="3"/>
  <c r="Y128" i="4"/>
  <c r="W131" i="4"/>
  <c r="X132" i="4"/>
  <c r="X134" i="4"/>
  <c r="X133" i="4"/>
  <c r="X129" i="4"/>
  <c r="AB70" i="4"/>
  <c r="AC71" i="4"/>
  <c r="AC73" i="4"/>
  <c r="AC72" i="4"/>
  <c r="AC92" i="4"/>
  <c r="AC68" i="4"/>
  <c r="AG30" i="3"/>
  <c r="AH106" i="4"/>
  <c r="AD167" i="4"/>
  <c r="AD34" i="3" s="1"/>
  <c r="AB154" i="4"/>
  <c r="AC152" i="4"/>
  <c r="AC22" i="3" s="1"/>
  <c r="AC76" i="4"/>
  <c r="AF34" i="11"/>
  <c r="AI18" i="11"/>
  <c r="AD67" i="4"/>
  <c r="AJ26" i="11"/>
  <c r="AB26" i="3"/>
  <c r="AE75" i="4"/>
  <c r="AE14" i="11" s="1"/>
  <c r="AA34" i="3"/>
  <c r="AE91" i="4"/>
  <c r="AE22" i="11" s="1"/>
  <c r="AC101" i="4"/>
  <c r="AC89" i="4"/>
  <c r="AC107" i="4"/>
  <c r="AC104" i="4"/>
  <c r="AF30" i="11"/>
  <c r="AE10" i="3"/>
  <c r="AE8" i="3"/>
  <c r="AE9" i="3"/>
  <c r="AE11" i="3"/>
  <c r="AC18" i="3"/>
  <c r="AD139" i="4" l="1"/>
  <c r="AC136" i="4"/>
  <c r="X131" i="4"/>
  <c r="Z14" i="3"/>
  <c r="Z128" i="4"/>
  <c r="Z129" i="4" s="1"/>
  <c r="Y134" i="4"/>
  <c r="Y133" i="4"/>
  <c r="Y132" i="4"/>
  <c r="Y129" i="4"/>
  <c r="AD71" i="4"/>
  <c r="AD73" i="4"/>
  <c r="AD72" i="4"/>
  <c r="AC70" i="4"/>
  <c r="AD76" i="4"/>
  <c r="AD68" i="4"/>
  <c r="AH30" i="3"/>
  <c r="AI106" i="4"/>
  <c r="AE167" i="4"/>
  <c r="AE34" i="3" s="1"/>
  <c r="AC154" i="4"/>
  <c r="AD152" i="4"/>
  <c r="AD22" i="3" s="1"/>
  <c r="AG30" i="11"/>
  <c r="AD101" i="4"/>
  <c r="AD89" i="4"/>
  <c r="AD104" i="4"/>
  <c r="AD107" i="4"/>
  <c r="AC26" i="3"/>
  <c r="AD92" i="4"/>
  <c r="AJ18" i="11"/>
  <c r="AF75" i="4"/>
  <c r="AF14" i="11" s="1"/>
  <c r="AE67" i="4"/>
  <c r="AF91" i="4"/>
  <c r="AF22" i="11" s="1"/>
  <c r="AB34" i="3"/>
  <c r="AC34" i="3"/>
  <c r="AK26" i="11"/>
  <c r="AG34" i="11"/>
  <c r="AF8" i="3"/>
  <c r="AF11" i="3"/>
  <c r="AF9" i="3"/>
  <c r="AF10" i="3"/>
  <c r="AD18" i="3"/>
  <c r="AD136" i="4" l="1"/>
  <c r="AE139" i="4"/>
  <c r="AD70" i="4"/>
  <c r="Y131" i="4"/>
  <c r="AA14" i="3"/>
  <c r="AA128" i="4"/>
  <c r="Z134" i="4"/>
  <c r="Z133" i="4"/>
  <c r="Z132" i="4"/>
  <c r="AE73" i="4"/>
  <c r="AE72" i="4"/>
  <c r="AE71" i="4"/>
  <c r="AE76" i="4"/>
  <c r="AE68" i="4"/>
  <c r="AI30" i="3"/>
  <c r="AJ106" i="4"/>
  <c r="AF167" i="4"/>
  <c r="AF34" i="3" s="1"/>
  <c r="AD154" i="4"/>
  <c r="AE152" i="4"/>
  <c r="AE22" i="3" s="1"/>
  <c r="AE92" i="4"/>
  <c r="AG75" i="4"/>
  <c r="AG14" i="11" s="1"/>
  <c r="AG91" i="4"/>
  <c r="AG22" i="11" s="1"/>
  <c r="AF67" i="4"/>
  <c r="AD26" i="3"/>
  <c r="AL26" i="11"/>
  <c r="AK18" i="11"/>
  <c r="AH34" i="11"/>
  <c r="AE101" i="4"/>
  <c r="AE89" i="4"/>
  <c r="AE104" i="4"/>
  <c r="AE107" i="4"/>
  <c r="AH30" i="11"/>
  <c r="AG8" i="3"/>
  <c r="AG11" i="3"/>
  <c r="AG9" i="3"/>
  <c r="AG10" i="3"/>
  <c r="AE18" i="3"/>
  <c r="AF139" i="4" l="1"/>
  <c r="AE136" i="4"/>
  <c r="Z131" i="4"/>
  <c r="AB14" i="3"/>
  <c r="AB128" i="4"/>
  <c r="AA132" i="4"/>
  <c r="AA133" i="4"/>
  <c r="AA134" i="4"/>
  <c r="AA129" i="4"/>
  <c r="AF68" i="4"/>
  <c r="AF73" i="4"/>
  <c r="AF72" i="4"/>
  <c r="AF71" i="4"/>
  <c r="AE70" i="4"/>
  <c r="AJ30" i="3"/>
  <c r="AK106" i="4"/>
  <c r="AG167" i="4"/>
  <c r="AG34" i="3" s="1"/>
  <c r="AE154" i="4"/>
  <c r="AF152" i="4"/>
  <c r="AF22" i="3" s="1"/>
  <c r="AI34" i="11"/>
  <c r="AF101" i="4"/>
  <c r="AF89" i="4"/>
  <c r="AF104" i="4"/>
  <c r="AF107" i="4"/>
  <c r="AI30" i="11"/>
  <c r="AM26" i="11"/>
  <c r="AE26" i="3"/>
  <c r="AF92" i="4"/>
  <c r="AH91" i="4"/>
  <c r="AH22" i="11" s="1"/>
  <c r="AH75" i="4"/>
  <c r="AH14" i="11" s="1"/>
  <c r="AL18" i="11"/>
  <c r="AF76" i="4"/>
  <c r="AG67" i="4"/>
  <c r="AH11" i="3"/>
  <c r="AH10" i="3"/>
  <c r="AH8" i="3"/>
  <c r="AH9" i="3"/>
  <c r="AF18" i="3"/>
  <c r="AF136" i="4" l="1"/>
  <c r="AG139" i="4"/>
  <c r="AF70" i="4"/>
  <c r="AA131" i="4"/>
  <c r="AB133" i="4"/>
  <c r="AB132" i="4"/>
  <c r="AB134" i="4"/>
  <c r="AB129" i="4"/>
  <c r="AC14" i="3"/>
  <c r="AC128" i="4"/>
  <c r="AG73" i="4"/>
  <c r="AG72" i="4"/>
  <c r="AG71" i="4"/>
  <c r="AG92" i="4"/>
  <c r="AG68" i="4"/>
  <c r="AK30" i="3"/>
  <c r="AL106" i="4"/>
  <c r="AH167" i="4"/>
  <c r="AH34" i="3" s="1"/>
  <c r="AF154" i="4"/>
  <c r="AG152" i="4"/>
  <c r="AG22" i="3" s="1"/>
  <c r="AG76" i="4"/>
  <c r="AF26" i="3"/>
  <c r="AM18" i="11"/>
  <c r="AJ30" i="11"/>
  <c r="AI75" i="4"/>
  <c r="AI14" i="11" s="1"/>
  <c r="AN26" i="11"/>
  <c r="AI91" i="4"/>
  <c r="AI22" i="11" s="1"/>
  <c r="AG101" i="4"/>
  <c r="AG89" i="4"/>
  <c r="AG107" i="4"/>
  <c r="AG104" i="4"/>
  <c r="AH67" i="4"/>
  <c r="AJ34" i="11"/>
  <c r="AI8" i="3"/>
  <c r="AI11" i="3"/>
  <c r="AI9" i="3"/>
  <c r="AI10" i="3"/>
  <c r="AG18" i="3"/>
  <c r="AG136" i="4" l="1"/>
  <c r="AH139" i="4"/>
  <c r="AG70" i="4"/>
  <c r="AG154" i="4"/>
  <c r="AC133" i="4"/>
  <c r="AC132" i="4"/>
  <c r="AC134" i="4"/>
  <c r="AC129" i="4"/>
  <c r="AD14" i="3"/>
  <c r="AD128" i="4"/>
  <c r="AB131" i="4"/>
  <c r="AH73" i="4"/>
  <c r="AH72" i="4"/>
  <c r="AH71" i="4"/>
  <c r="AH92" i="4"/>
  <c r="AH68" i="4"/>
  <c r="AL30" i="3"/>
  <c r="AN106" i="4"/>
  <c r="AM106" i="4"/>
  <c r="AI167" i="4"/>
  <c r="AI34" i="3" s="1"/>
  <c r="AH152" i="4"/>
  <c r="AH22" i="3" s="1"/>
  <c r="AK34" i="11"/>
  <c r="AH76" i="4"/>
  <c r="AJ91" i="4"/>
  <c r="AJ22" i="11" s="1"/>
  <c r="AJ75" i="4"/>
  <c r="AJ14" i="11" s="1"/>
  <c r="AN18" i="11"/>
  <c r="AH101" i="4"/>
  <c r="AH89" i="4"/>
  <c r="AH104" i="4"/>
  <c r="AH107" i="4"/>
  <c r="AI67" i="4"/>
  <c r="AG26" i="3"/>
  <c r="AK30" i="11"/>
  <c r="AJ11" i="3"/>
  <c r="AJ8" i="3"/>
  <c r="AJ9" i="3"/>
  <c r="AJ10" i="3"/>
  <c r="AH18" i="3"/>
  <c r="AI139" i="4" l="1"/>
  <c r="AH136" i="4"/>
  <c r="AH70" i="4"/>
  <c r="AH154" i="4"/>
  <c r="AE14" i="3"/>
  <c r="AE128" i="4"/>
  <c r="AC131" i="4"/>
  <c r="AD132" i="4"/>
  <c r="AD134" i="4"/>
  <c r="AD129" i="4"/>
  <c r="AD133" i="4"/>
  <c r="AI72" i="4"/>
  <c r="AI71" i="4"/>
  <c r="AI73" i="4"/>
  <c r="AI92" i="4"/>
  <c r="AI68" i="4"/>
  <c r="AN30" i="3"/>
  <c r="AM30" i="3"/>
  <c r="AJ167" i="4"/>
  <c r="AJ34" i="3" s="1"/>
  <c r="AI152" i="4"/>
  <c r="AI22" i="3" s="1"/>
  <c r="AI76" i="4"/>
  <c r="AK75" i="4"/>
  <c r="AK14" i="11" s="1"/>
  <c r="AK91" i="4"/>
  <c r="AK22" i="11" s="1"/>
  <c r="AL34" i="11"/>
  <c r="AL30" i="11"/>
  <c r="AH26" i="3"/>
  <c r="AI101" i="4"/>
  <c r="AI89" i="4"/>
  <c r="AI104" i="4"/>
  <c r="AI107" i="4"/>
  <c r="AJ67" i="4"/>
  <c r="AK11" i="3"/>
  <c r="AK8" i="3"/>
  <c r="AK10" i="3"/>
  <c r="AK9" i="3"/>
  <c r="AI18" i="3"/>
  <c r="AI136" i="4" l="1"/>
  <c r="AJ139" i="4"/>
  <c r="AI70" i="4"/>
  <c r="AD131" i="4"/>
  <c r="AE132" i="4"/>
  <c r="AE134" i="4"/>
  <c r="AE129" i="4"/>
  <c r="AE133" i="4"/>
  <c r="AF14" i="3"/>
  <c r="AF128" i="4"/>
  <c r="AJ71" i="4"/>
  <c r="AJ73" i="4"/>
  <c r="AJ72" i="4"/>
  <c r="AJ76" i="4"/>
  <c r="AJ68" i="4"/>
  <c r="AI154" i="4"/>
  <c r="AK167" i="4"/>
  <c r="AK34" i="3" s="1"/>
  <c r="AJ152" i="4"/>
  <c r="AJ22" i="3" s="1"/>
  <c r="AI26" i="3"/>
  <c r="AM30" i="11"/>
  <c r="AK67" i="4"/>
  <c r="AL75" i="4"/>
  <c r="AL14" i="11" s="1"/>
  <c r="AL91" i="4"/>
  <c r="AL22" i="11" s="1"/>
  <c r="AM34" i="11"/>
  <c r="AJ101" i="4"/>
  <c r="AJ89" i="4"/>
  <c r="AJ107" i="4"/>
  <c r="AJ104" i="4"/>
  <c r="AJ92" i="4"/>
  <c r="AL8" i="3"/>
  <c r="AL9" i="3"/>
  <c r="AL10" i="3"/>
  <c r="AL11" i="3"/>
  <c r="AJ18" i="3"/>
  <c r="AJ136" i="4" l="1"/>
  <c r="AK139" i="4"/>
  <c r="AF132" i="4"/>
  <c r="AF133" i="4"/>
  <c r="AF134" i="4"/>
  <c r="AF129" i="4"/>
  <c r="AE131" i="4"/>
  <c r="AG14" i="3"/>
  <c r="AG128" i="4"/>
  <c r="AK68" i="4"/>
  <c r="AK71" i="4"/>
  <c r="AK73" i="4"/>
  <c r="AK72" i="4"/>
  <c r="AJ70" i="4"/>
  <c r="AJ154" i="4"/>
  <c r="AL167" i="4"/>
  <c r="AL34" i="3" s="1"/>
  <c r="AK152" i="4"/>
  <c r="AK22" i="3" s="1"/>
  <c r="AK101" i="4"/>
  <c r="AK89" i="4"/>
  <c r="AK107" i="4"/>
  <c r="AK104" i="4"/>
  <c r="AN30" i="11"/>
  <c r="AN91" i="4"/>
  <c r="AN22" i="11" s="1"/>
  <c r="AM91" i="4"/>
  <c r="AM22" i="11" s="1"/>
  <c r="AJ26" i="3"/>
  <c r="AN75" i="4"/>
  <c r="AN14" i="11" s="1"/>
  <c r="AM75" i="4"/>
  <c r="AM14" i="11" s="1"/>
  <c r="AN34" i="11"/>
  <c r="AK76" i="4"/>
  <c r="AK92" i="4"/>
  <c r="AL67" i="4"/>
  <c r="AM9" i="3"/>
  <c r="AM11" i="3"/>
  <c r="AM8" i="3"/>
  <c r="AM10" i="3"/>
  <c r="AK18" i="3"/>
  <c r="AK136" i="4" l="1"/>
  <c r="AL139" i="4"/>
  <c r="AG134" i="4"/>
  <c r="AG133" i="4"/>
  <c r="AG132" i="4"/>
  <c r="AG129" i="4"/>
  <c r="AH14" i="3"/>
  <c r="AH128" i="4"/>
  <c r="AF131" i="4"/>
  <c r="AL71" i="4"/>
  <c r="AL73" i="4"/>
  <c r="AL72" i="4"/>
  <c r="AK70" i="4"/>
  <c r="AL76" i="4"/>
  <c r="AL68" i="4"/>
  <c r="AN167" i="4"/>
  <c r="AM167" i="4"/>
  <c r="AM34" i="3" s="1"/>
  <c r="AK154" i="4"/>
  <c r="AL152" i="4"/>
  <c r="AL22" i="3" s="1"/>
  <c r="AL92" i="4"/>
  <c r="AN67" i="4"/>
  <c r="AM67" i="4"/>
  <c r="AL101" i="4"/>
  <c r="AL89" i="4"/>
  <c r="AL104" i="4"/>
  <c r="AL107" i="4"/>
  <c r="AK26" i="3"/>
  <c r="AN8" i="3"/>
  <c r="AN10" i="3"/>
  <c r="AN11" i="3"/>
  <c r="AN9" i="3"/>
  <c r="AL18" i="3"/>
  <c r="AL136" i="4" l="1"/>
  <c r="AM139" i="4"/>
  <c r="AG131" i="4"/>
  <c r="AH134" i="4"/>
  <c r="AH133" i="4"/>
  <c r="AH132" i="4"/>
  <c r="AI14" i="3"/>
  <c r="AI128" i="4"/>
  <c r="AH129" i="4"/>
  <c r="AM73" i="4"/>
  <c r="AM71" i="4"/>
  <c r="AM72" i="4"/>
  <c r="AN73" i="4"/>
  <c r="AN72" i="4"/>
  <c r="AN71" i="4"/>
  <c r="AL70" i="4"/>
  <c r="AM76" i="4"/>
  <c r="AM68" i="4"/>
  <c r="AN104" i="4"/>
  <c r="AN68" i="4"/>
  <c r="AL154" i="4"/>
  <c r="AN152" i="4"/>
  <c r="AN22" i="3" s="1"/>
  <c r="AM152" i="4"/>
  <c r="AM22" i="3" s="1"/>
  <c r="AN107" i="4"/>
  <c r="AN76" i="4"/>
  <c r="AM101" i="4"/>
  <c r="AM89" i="4"/>
  <c r="AM104" i="4"/>
  <c r="AM107" i="4"/>
  <c r="AL26" i="3"/>
  <c r="AM92" i="4"/>
  <c r="AN101" i="4"/>
  <c r="AN89" i="4"/>
  <c r="AN92" i="4"/>
  <c r="AM18" i="3"/>
  <c r="AN34" i="3"/>
  <c r="AN139" i="4" l="1"/>
  <c r="AN136" i="4" s="1"/>
  <c r="AM136" i="4"/>
  <c r="AN70" i="4"/>
  <c r="AJ14" i="3"/>
  <c r="AJ128" i="4"/>
  <c r="AI133" i="4"/>
  <c r="AI132" i="4"/>
  <c r="AI134" i="4"/>
  <c r="AI129" i="4"/>
  <c r="AH131" i="4"/>
  <c r="AM70" i="4"/>
  <c r="AM154" i="4"/>
  <c r="AM26" i="3"/>
  <c r="AN26" i="3"/>
  <c r="AN18" i="3"/>
  <c r="AN154" i="4"/>
  <c r="AI131" i="4" l="1"/>
  <c r="AK14" i="3"/>
  <c r="AK128" i="4"/>
  <c r="AJ133" i="4"/>
  <c r="AJ132" i="4"/>
  <c r="AJ134" i="4"/>
  <c r="AJ129" i="4"/>
  <c r="AJ131" i="4" l="1"/>
  <c r="AK133" i="4"/>
  <c r="AK134" i="4"/>
  <c r="AK132" i="4"/>
  <c r="AK129" i="4"/>
  <c r="AL14" i="3"/>
  <c r="AL128" i="4"/>
  <c r="M8" i="5"/>
  <c r="AK131" i="4" l="1"/>
  <c r="AM14" i="3"/>
  <c r="AM128" i="4"/>
  <c r="AL132" i="4"/>
  <c r="AL129" i="4"/>
  <c r="AL134" i="4"/>
  <c r="AL133" i="4"/>
  <c r="AN14" i="3"/>
  <c r="AN128" i="4"/>
  <c r="I103" i="6"/>
  <c r="H103" i="6"/>
  <c r="K103" i="6"/>
  <c r="K107" i="6"/>
  <c r="J107" i="6"/>
  <c r="I107" i="6"/>
  <c r="H107" i="6"/>
  <c r="J103" i="6"/>
  <c r="AH21" i="6"/>
  <c r="AG21" i="6"/>
  <c r="AF21" i="6"/>
  <c r="AE21" i="6"/>
  <c r="Z21" i="6"/>
  <c r="Y21" i="6"/>
  <c r="X21" i="6"/>
  <c r="W21" i="6"/>
  <c r="R21" i="6"/>
  <c r="Q21" i="6"/>
  <c r="P21" i="6"/>
  <c r="O21" i="6"/>
  <c r="J21" i="6"/>
  <c r="I21" i="6"/>
  <c r="H21" i="6"/>
  <c r="AI21" i="6"/>
  <c r="AD21" i="6"/>
  <c r="AC21" i="6"/>
  <c r="AB21" i="6"/>
  <c r="AA21" i="6"/>
  <c r="V21" i="6"/>
  <c r="U21" i="6"/>
  <c r="T21" i="6"/>
  <c r="S21" i="6"/>
  <c r="N21" i="6"/>
  <c r="M21" i="6"/>
  <c r="L21" i="6"/>
  <c r="K21" i="6"/>
  <c r="AI19" i="6"/>
  <c r="AH19" i="6"/>
  <c r="AG19" i="6"/>
  <c r="AF19" i="6"/>
  <c r="AE19" i="6"/>
  <c r="AD19" i="6"/>
  <c r="AC19" i="6"/>
  <c r="AB19" i="6"/>
  <c r="AA19" i="6"/>
  <c r="Z19" i="6"/>
  <c r="Y19" i="6"/>
  <c r="X19" i="6"/>
  <c r="W19" i="6"/>
  <c r="V19" i="6"/>
  <c r="U19" i="6"/>
  <c r="T19" i="6"/>
  <c r="S19" i="6"/>
  <c r="R19" i="6"/>
  <c r="Q19" i="6"/>
  <c r="P19" i="6"/>
  <c r="O19" i="6"/>
  <c r="N19" i="6"/>
  <c r="M19" i="6"/>
  <c r="L19" i="6"/>
  <c r="K19" i="6"/>
  <c r="J19" i="6"/>
  <c r="I19" i="6"/>
  <c r="H19" i="6"/>
  <c r="G19" i="6"/>
  <c r="N56" i="11"/>
  <c r="O56" i="11" s="1"/>
  <c r="P56" i="11" s="1"/>
  <c r="M56" i="11"/>
  <c r="N52" i="11"/>
  <c r="O52" i="11" s="1"/>
  <c r="P52" i="11" s="1"/>
  <c r="M52" i="11"/>
  <c r="M51" i="11"/>
  <c r="N51" i="11" s="1"/>
  <c r="O51" i="11" s="1"/>
  <c r="P51" i="11" s="1"/>
  <c r="L50" i="11"/>
  <c r="K50" i="11"/>
  <c r="J50" i="11"/>
  <c r="I50" i="11"/>
  <c r="H50" i="11"/>
  <c r="G50" i="11"/>
  <c r="F50" i="11"/>
  <c r="E50" i="11"/>
  <c r="N50" i="11"/>
  <c r="M50" i="11"/>
  <c r="M32" i="11"/>
  <c r="L32" i="11"/>
  <c r="K32" i="11"/>
  <c r="J32" i="11"/>
  <c r="I32" i="11"/>
  <c r="H32" i="11"/>
  <c r="G32" i="11"/>
  <c r="F32" i="11"/>
  <c r="M28" i="11"/>
  <c r="L28" i="11"/>
  <c r="K28" i="11"/>
  <c r="J28" i="11"/>
  <c r="I28" i="11"/>
  <c r="H28" i="11"/>
  <c r="G28" i="11"/>
  <c r="F28" i="11"/>
  <c r="M24" i="11"/>
  <c r="L24" i="11"/>
  <c r="K24" i="11"/>
  <c r="J24" i="11"/>
  <c r="I24" i="11"/>
  <c r="H24" i="11"/>
  <c r="G24" i="11"/>
  <c r="F24" i="11"/>
  <c r="M20" i="11"/>
  <c r="L20" i="11"/>
  <c r="K20" i="11"/>
  <c r="J20" i="11"/>
  <c r="I20" i="11"/>
  <c r="H20" i="11"/>
  <c r="G20" i="11"/>
  <c r="F20" i="11"/>
  <c r="K16" i="11"/>
  <c r="J16" i="11"/>
  <c r="I16" i="11"/>
  <c r="H16" i="11"/>
  <c r="G16" i="11"/>
  <c r="F16" i="11"/>
  <c r="L7" i="11"/>
  <c r="K6" i="11"/>
  <c r="J6" i="11"/>
  <c r="I6" i="11"/>
  <c r="H6" i="11"/>
  <c r="G6" i="11"/>
  <c r="F6" i="11"/>
  <c r="E6" i="11"/>
  <c r="F7" i="11" s="1"/>
  <c r="AN132" i="4" l="1"/>
  <c r="AN133" i="4"/>
  <c r="AN134" i="4"/>
  <c r="AN129" i="4"/>
  <c r="AL131" i="4"/>
  <c r="AM132" i="4"/>
  <c r="AM129" i="4"/>
  <c r="AM134" i="4"/>
  <c r="AM133" i="4"/>
  <c r="P50" i="11"/>
  <c r="G7" i="11"/>
  <c r="H7" i="11"/>
  <c r="I7" i="11"/>
  <c r="J7" i="11"/>
  <c r="K7" i="11"/>
  <c r="O50" i="11"/>
  <c r="AM131" i="4" l="1"/>
  <c r="AN131" i="4"/>
  <c r="Q50" i="11"/>
  <c r="R50" i="11" l="1"/>
  <c r="S50" i="11" l="1"/>
  <c r="T50" i="11" l="1"/>
  <c r="U50" i="11" l="1"/>
  <c r="V50" i="11" l="1"/>
  <c r="W50" i="11" l="1"/>
  <c r="X50" i="11" l="1"/>
  <c r="Y50" i="11" l="1"/>
  <c r="Z50" i="11" l="1"/>
  <c r="AA50" i="11" l="1"/>
  <c r="AB50" i="11" l="1"/>
  <c r="AC50" i="11" l="1"/>
  <c r="AD50" i="11" l="1"/>
  <c r="AE50" i="11" l="1"/>
  <c r="AF50" i="11" l="1"/>
  <c r="AG50" i="11" l="1"/>
  <c r="AH50" i="11" l="1"/>
  <c r="AI50" i="11" l="1"/>
  <c r="AJ50" i="11" l="1"/>
  <c r="AK50" i="11" l="1"/>
  <c r="AL50" i="11" l="1"/>
  <c r="AN50" i="11" l="1"/>
  <c r="AM50" i="11"/>
  <c r="G102" i="6" l="1"/>
  <c r="C90" i="6" l="1"/>
  <c r="F118" i="6" s="1"/>
  <c r="M35" i="8"/>
  <c r="L35" i="8"/>
  <c r="Y34" i="8"/>
  <c r="X34" i="8"/>
  <c r="W34" i="8"/>
  <c r="W33" i="8"/>
  <c r="V34" i="8"/>
  <c r="V33" i="8"/>
  <c r="U34" i="8"/>
  <c r="U33" i="8"/>
  <c r="T34" i="8"/>
  <c r="T33" i="8"/>
  <c r="S34" i="8"/>
  <c r="S33" i="8"/>
  <c r="R34" i="8"/>
  <c r="R33" i="8"/>
  <c r="Q34" i="8"/>
  <c r="Q33" i="8"/>
  <c r="P34" i="8"/>
  <c r="P33" i="8"/>
  <c r="X29" i="8"/>
  <c r="W29" i="8"/>
  <c r="V29" i="8"/>
  <c r="U29" i="8"/>
  <c r="U28" i="8"/>
  <c r="T29" i="8"/>
  <c r="T28" i="8"/>
  <c r="S29" i="8"/>
  <c r="S28" i="8"/>
  <c r="R29" i="8"/>
  <c r="R28" i="8"/>
  <c r="Q29" i="8"/>
  <c r="Q28" i="8"/>
  <c r="P29" i="8"/>
  <c r="P28" i="8"/>
  <c r="O29" i="8"/>
  <c r="O28" i="8"/>
  <c r="V28" i="8"/>
  <c r="N29" i="8"/>
  <c r="N28" i="8"/>
  <c r="E34" i="8"/>
  <c r="G34" i="8" s="1"/>
  <c r="E33" i="8"/>
  <c r="G33" i="8" s="1"/>
  <c r="E32" i="8"/>
  <c r="G32" i="8" s="1"/>
  <c r="X32" i="8" s="1"/>
  <c r="G29" i="8"/>
  <c r="G28" i="8"/>
  <c r="E29" i="8"/>
  <c r="E28" i="8"/>
  <c r="E27" i="8"/>
  <c r="G27" i="8" s="1"/>
  <c r="R27" i="8" s="1"/>
  <c r="E13" i="8"/>
  <c r="F13" i="8" s="1"/>
  <c r="G13" i="8" s="1"/>
  <c r="H13" i="8" s="1"/>
  <c r="H14" i="8" s="1"/>
  <c r="E12" i="8"/>
  <c r="H12" i="8" s="1"/>
  <c r="O12" i="8" s="1"/>
  <c r="E11" i="8"/>
  <c r="H11" i="8" s="1"/>
  <c r="N11" i="8" s="1"/>
  <c r="E10" i="8"/>
  <c r="H10" i="8" s="1"/>
  <c r="Z32" i="8" l="1"/>
  <c r="P32" i="8"/>
  <c r="S32" i="8"/>
  <c r="T32" i="8"/>
  <c r="Q32" i="8"/>
  <c r="W32" i="8"/>
  <c r="R32" i="8"/>
  <c r="R35" i="8" s="1"/>
  <c r="Y32" i="8"/>
  <c r="V32" i="8"/>
  <c r="U32" i="8"/>
  <c r="X27" i="8"/>
  <c r="X35" i="8" s="1"/>
  <c r="P27" i="8"/>
  <c r="P35" i="8" s="1"/>
  <c r="S27" i="8"/>
  <c r="S35" i="8" s="1"/>
  <c r="Z27" i="8"/>
  <c r="Z35" i="8" s="1"/>
  <c r="U27" i="8"/>
  <c r="U35" i="8" s="1"/>
  <c r="V27" i="8"/>
  <c r="Q27" i="8"/>
  <c r="T27" i="8"/>
  <c r="W27" i="8"/>
  <c r="Y27" i="8"/>
  <c r="Y35" i="8" s="1"/>
  <c r="N27" i="8"/>
  <c r="N35" i="8" s="1"/>
  <c r="O27" i="8"/>
  <c r="O35" i="8" s="1"/>
  <c r="M13" i="8"/>
  <c r="O13" i="8"/>
  <c r="L13" i="8"/>
  <c r="L14" i="8" s="1"/>
  <c r="H61" i="6" s="1"/>
  <c r="N13" i="8"/>
  <c r="N14" i="8"/>
  <c r="J61" i="6" s="1"/>
  <c r="H16" i="8"/>
  <c r="O10" i="8"/>
  <c r="O14" i="8" s="1"/>
  <c r="F10" i="8"/>
  <c r="G10" i="8" s="1"/>
  <c r="O11" i="8"/>
  <c r="F11" i="8"/>
  <c r="G11" i="8" s="1"/>
  <c r="M11" i="8"/>
  <c r="M14" i="8" s="1"/>
  <c r="I61" i="6" s="1"/>
  <c r="F12" i="8"/>
  <c r="G12" i="8" s="1"/>
  <c r="T35" i="8" l="1"/>
  <c r="Q35" i="8"/>
  <c r="W35" i="8"/>
  <c r="V35" i="8"/>
  <c r="AE61" i="6"/>
  <c r="W61" i="6"/>
  <c r="O61" i="6"/>
  <c r="P61" i="6"/>
  <c r="AD61" i="6"/>
  <c r="V61" i="6"/>
  <c r="N61" i="6"/>
  <c r="Y61" i="6"/>
  <c r="X61" i="6"/>
  <c r="AC61" i="6"/>
  <c r="U61" i="6"/>
  <c r="M61" i="6"/>
  <c r="Q61" i="6"/>
  <c r="AB61" i="6"/>
  <c r="T61" i="6"/>
  <c r="L61" i="6"/>
  <c r="AI61" i="6"/>
  <c r="AA61" i="6"/>
  <c r="S61" i="6"/>
  <c r="K61" i="6"/>
  <c r="AH61" i="6"/>
  <c r="Z61" i="6"/>
  <c r="R61" i="6"/>
  <c r="AG61" i="6"/>
  <c r="AF61" i="6"/>
  <c r="M100" i="6" l="1"/>
  <c r="L100" i="6"/>
  <c r="K100" i="6"/>
  <c r="J100" i="6"/>
  <c r="I100" i="6"/>
  <c r="H100" i="6"/>
  <c r="G100" i="6"/>
  <c r="H59" i="6"/>
  <c r="G59" i="6"/>
  <c r="AI107" i="6"/>
  <c r="AH107" i="6"/>
  <c r="AG107" i="6"/>
  <c r="AF107" i="6"/>
  <c r="AE107" i="6"/>
  <c r="AD107" i="6"/>
  <c r="AC107" i="6"/>
  <c r="AC102" i="6" s="1"/>
  <c r="AB107" i="6"/>
  <c r="AA107" i="6"/>
  <c r="Z107" i="6"/>
  <c r="Z102" i="6" s="1"/>
  <c r="Y107" i="6"/>
  <c r="X107" i="6"/>
  <c r="W107" i="6"/>
  <c r="V107" i="6"/>
  <c r="U107" i="6"/>
  <c r="U102" i="6" s="1"/>
  <c r="T107" i="6"/>
  <c r="S107" i="6"/>
  <c r="R107" i="6"/>
  <c r="R102" i="6" s="1"/>
  <c r="Q107" i="6"/>
  <c r="P107" i="6"/>
  <c r="P102" i="6" s="1"/>
  <c r="O107" i="6"/>
  <c r="N107" i="6"/>
  <c r="M107" i="6"/>
  <c r="M102" i="6" s="1"/>
  <c r="L107" i="6"/>
  <c r="L102" i="6" s="1"/>
  <c r="K102" i="6"/>
  <c r="J102" i="6"/>
  <c r="AH102" i="6"/>
  <c r="I102" i="6"/>
  <c r="H102" i="6"/>
  <c r="T102" i="6" l="1"/>
  <c r="S102" i="6"/>
  <c r="AA102" i="6"/>
  <c r="AI102" i="6"/>
  <c r="AB102" i="6"/>
  <c r="X102" i="6"/>
  <c r="AF102" i="6"/>
  <c r="AD102" i="6"/>
  <c r="N102" i="6"/>
  <c r="O102" i="6"/>
  <c r="W102" i="6"/>
  <c r="AE102" i="6"/>
  <c r="V102" i="6"/>
  <c r="Q102" i="6"/>
  <c r="Y102" i="6"/>
  <c r="AG102" i="6"/>
  <c r="AG36" i="3"/>
  <c r="Y36" i="3"/>
  <c r="Q36" i="3"/>
  <c r="AN32" i="3"/>
  <c r="AM32" i="3"/>
  <c r="AL32" i="3"/>
  <c r="AK32" i="3"/>
  <c r="AJ32" i="3"/>
  <c r="AI32" i="3"/>
  <c r="AH32" i="3"/>
  <c r="AG32" i="3"/>
  <c r="AF32" i="3"/>
  <c r="AE32" i="3"/>
  <c r="AD32" i="3"/>
  <c r="AC32" i="3"/>
  <c r="AB32" i="3"/>
  <c r="AA32" i="3"/>
  <c r="Z32" i="3"/>
  <c r="Y32" i="3"/>
  <c r="X32" i="3"/>
  <c r="W32" i="3"/>
  <c r="V32" i="3"/>
  <c r="U32" i="3"/>
  <c r="T32" i="3"/>
  <c r="S32" i="3"/>
  <c r="R32" i="3"/>
  <c r="Q32" i="3"/>
  <c r="P32" i="3"/>
  <c r="O32" i="3"/>
  <c r="N32" i="3"/>
  <c r="M32" i="3"/>
  <c r="L32" i="3"/>
  <c r="K32" i="3"/>
  <c r="J32" i="3"/>
  <c r="I32" i="3"/>
  <c r="H32" i="3"/>
  <c r="G32" i="3"/>
  <c r="F32" i="3"/>
  <c r="AN28" i="3"/>
  <c r="AM28" i="3"/>
  <c r="AL28" i="3"/>
  <c r="AK28" i="3"/>
  <c r="AJ28" i="3"/>
  <c r="AI28" i="3"/>
  <c r="AH28" i="3"/>
  <c r="AG28" i="3"/>
  <c r="AF28" i="3"/>
  <c r="AE28" i="3"/>
  <c r="AD28" i="3"/>
  <c r="AC28" i="3"/>
  <c r="AB28" i="3"/>
  <c r="AA28" i="3"/>
  <c r="Z28" i="3"/>
  <c r="Y28" i="3"/>
  <c r="X28" i="3"/>
  <c r="W28" i="3"/>
  <c r="V28" i="3"/>
  <c r="U28" i="3"/>
  <c r="T28" i="3"/>
  <c r="S28" i="3"/>
  <c r="R28" i="3"/>
  <c r="Q28" i="3"/>
  <c r="P28" i="3"/>
  <c r="O28" i="3"/>
  <c r="N28" i="3"/>
  <c r="M28" i="3"/>
  <c r="L28" i="3"/>
  <c r="K28" i="3"/>
  <c r="J28" i="3"/>
  <c r="I28" i="3"/>
  <c r="H28" i="3"/>
  <c r="G28" i="3"/>
  <c r="F28" i="3"/>
  <c r="AN24" i="3"/>
  <c r="AM24" i="3"/>
  <c r="AL24" i="3"/>
  <c r="AK24" i="3"/>
  <c r="AJ24" i="3"/>
  <c r="AI24" i="3"/>
  <c r="AH24" i="3"/>
  <c r="AG24" i="3"/>
  <c r="AF24" i="3"/>
  <c r="AE24" i="3"/>
  <c r="AD24" i="3"/>
  <c r="AC24" i="3"/>
  <c r="AB24" i="3"/>
  <c r="AA24" i="3"/>
  <c r="Z24" i="3"/>
  <c r="Y24" i="3"/>
  <c r="X24" i="3"/>
  <c r="W24" i="3"/>
  <c r="V24" i="3"/>
  <c r="U24" i="3"/>
  <c r="T24" i="3"/>
  <c r="S24" i="3"/>
  <c r="R24" i="3"/>
  <c r="Q24" i="3"/>
  <c r="P24" i="3"/>
  <c r="O24" i="3"/>
  <c r="N24" i="3"/>
  <c r="M24" i="3"/>
  <c r="L24" i="3"/>
  <c r="K24" i="3"/>
  <c r="J24" i="3"/>
  <c r="I24" i="3"/>
  <c r="H24" i="3"/>
  <c r="G24" i="3"/>
  <c r="F24" i="3"/>
  <c r="AN20" i="3"/>
  <c r="AM20" i="3"/>
  <c r="AL20" i="3"/>
  <c r="AK20" i="3"/>
  <c r="AJ20" i="3"/>
  <c r="AI20" i="3"/>
  <c r="AH20" i="3"/>
  <c r="AG20" i="3"/>
  <c r="AF20" i="3"/>
  <c r="AE20" i="3"/>
  <c r="AD20" i="3"/>
  <c r="AC20" i="3"/>
  <c r="AB20" i="3"/>
  <c r="AA20" i="3"/>
  <c r="Z20" i="3"/>
  <c r="Y20" i="3"/>
  <c r="X20" i="3"/>
  <c r="W20" i="3"/>
  <c r="V20" i="3"/>
  <c r="U20" i="3"/>
  <c r="T20" i="3"/>
  <c r="S20" i="3"/>
  <c r="R20" i="3"/>
  <c r="Q20" i="3"/>
  <c r="P20" i="3"/>
  <c r="O20" i="3"/>
  <c r="N20" i="3"/>
  <c r="M20" i="3"/>
  <c r="L20" i="3"/>
  <c r="K20" i="3"/>
  <c r="J20" i="3"/>
  <c r="I20" i="3"/>
  <c r="H20" i="3"/>
  <c r="G20" i="3"/>
  <c r="F20" i="3"/>
  <c r="AN16" i="3"/>
  <c r="AM16" i="3"/>
  <c r="AL16" i="3"/>
  <c r="AK16" i="3"/>
  <c r="AJ16" i="3"/>
  <c r="AI16" i="3"/>
  <c r="AH16" i="3"/>
  <c r="AG16" i="3"/>
  <c r="AF16" i="3"/>
  <c r="AE16" i="3"/>
  <c r="AD16" i="3"/>
  <c r="AC16" i="3"/>
  <c r="AB16" i="3"/>
  <c r="AA16" i="3"/>
  <c r="Z16" i="3"/>
  <c r="Y16" i="3"/>
  <c r="X16" i="3"/>
  <c r="W16" i="3"/>
  <c r="V16" i="3"/>
  <c r="U16" i="3"/>
  <c r="T16" i="3"/>
  <c r="S16" i="3"/>
  <c r="R16" i="3"/>
  <c r="Q16" i="3"/>
  <c r="P16" i="3"/>
  <c r="O16" i="3"/>
  <c r="N16" i="3"/>
  <c r="M16" i="3"/>
  <c r="L16" i="3"/>
  <c r="K16" i="3"/>
  <c r="J16" i="3"/>
  <c r="I16" i="3"/>
  <c r="H16" i="3"/>
  <c r="G16" i="3"/>
  <c r="F16" i="3"/>
  <c r="AN36" i="3"/>
  <c r="AM36" i="3"/>
  <c r="AL36" i="3"/>
  <c r="AK36" i="3"/>
  <c r="AJ36" i="3"/>
  <c r="AH36" i="3"/>
  <c r="AF36" i="3"/>
  <c r="AE36" i="3"/>
  <c r="AD36" i="3"/>
  <c r="AC36" i="3"/>
  <c r="AB36" i="3"/>
  <c r="Z36" i="3"/>
  <c r="X36" i="3"/>
  <c r="W36" i="3"/>
  <c r="V36" i="3"/>
  <c r="U36" i="3"/>
  <c r="T36" i="3"/>
  <c r="R36" i="3"/>
  <c r="P36" i="3"/>
  <c r="O36" i="3"/>
  <c r="N36" i="3"/>
  <c r="L34" i="3"/>
  <c r="L13" i="3" s="1"/>
  <c r="K167" i="4"/>
  <c r="K34" i="3" s="1"/>
  <c r="K13" i="3" s="1"/>
  <c r="J167" i="4"/>
  <c r="J34" i="3" s="1"/>
  <c r="J13" i="3" s="1"/>
  <c r="J27" i="3" s="1"/>
  <c r="I167" i="4"/>
  <c r="I34" i="3" s="1"/>
  <c r="I13" i="3" s="1"/>
  <c r="I27" i="3" s="1"/>
  <c r="H167" i="4"/>
  <c r="H34" i="3" s="1"/>
  <c r="H13" i="3" s="1"/>
  <c r="H15" i="3" s="1"/>
  <c r="G167" i="4"/>
  <c r="G34" i="3" s="1"/>
  <c r="F167" i="4"/>
  <c r="F34" i="3" s="1"/>
  <c r="F13" i="3" s="1"/>
  <c r="F15" i="3" s="1"/>
  <c r="E167" i="4"/>
  <c r="E34" i="3" s="1"/>
  <c r="E13" i="3" s="1"/>
  <c r="L128" i="4"/>
  <c r="H128" i="4"/>
  <c r="H150" i="4" s="1"/>
  <c r="G128" i="4"/>
  <c r="G162" i="4" s="1"/>
  <c r="M56" i="3"/>
  <c r="N56" i="3" s="1"/>
  <c r="O56" i="3" s="1"/>
  <c r="P56" i="3" s="1"/>
  <c r="Q56" i="3" s="1"/>
  <c r="M52" i="3"/>
  <c r="N52" i="3" s="1"/>
  <c r="O52" i="3" s="1"/>
  <c r="P52" i="3" s="1"/>
  <c r="Q52" i="3" s="1"/>
  <c r="M51" i="3"/>
  <c r="N51" i="3" s="1"/>
  <c r="O51" i="3" s="1"/>
  <c r="P51" i="3" s="1"/>
  <c r="Q51" i="3" s="1"/>
  <c r="M50" i="3"/>
  <c r="L50" i="3"/>
  <c r="K50" i="3"/>
  <c r="J50" i="3"/>
  <c r="I50" i="3"/>
  <c r="H50" i="3"/>
  <c r="G50" i="3"/>
  <c r="F50" i="3"/>
  <c r="E50" i="3"/>
  <c r="N50" i="3"/>
  <c r="M13" i="3"/>
  <c r="K6" i="3"/>
  <c r="J6" i="3"/>
  <c r="I6" i="3"/>
  <c r="H6" i="3"/>
  <c r="G6" i="3"/>
  <c r="F6" i="3"/>
  <c r="E6" i="3"/>
  <c r="M56" i="2"/>
  <c r="M32" i="2"/>
  <c r="L32" i="2"/>
  <c r="K32" i="2"/>
  <c r="J32" i="2"/>
  <c r="I32" i="2"/>
  <c r="H32" i="2"/>
  <c r="G32" i="2"/>
  <c r="F32" i="2"/>
  <c r="M28" i="2"/>
  <c r="L28" i="2"/>
  <c r="K28" i="2"/>
  <c r="J28" i="2"/>
  <c r="I28" i="2"/>
  <c r="H28" i="2"/>
  <c r="G28" i="2"/>
  <c r="F28" i="2"/>
  <c r="L24" i="2"/>
  <c r="K24" i="2"/>
  <c r="J24" i="2"/>
  <c r="I24" i="2"/>
  <c r="H24" i="2"/>
  <c r="G24" i="2"/>
  <c r="F24" i="2"/>
  <c r="M20" i="2"/>
  <c r="L20" i="2"/>
  <c r="K20" i="2"/>
  <c r="J20" i="2"/>
  <c r="I20" i="2"/>
  <c r="H20" i="2"/>
  <c r="G20" i="2"/>
  <c r="F20" i="2"/>
  <c r="L16" i="2"/>
  <c r="K16" i="2"/>
  <c r="J16" i="2"/>
  <c r="I16" i="2"/>
  <c r="H16" i="2"/>
  <c r="G16" i="2"/>
  <c r="F16" i="2"/>
  <c r="F7" i="2"/>
  <c r="M45" i="4"/>
  <c r="L45" i="4"/>
  <c r="K45" i="4"/>
  <c r="K34" i="11" s="1"/>
  <c r="J45" i="4"/>
  <c r="J34" i="11" s="1"/>
  <c r="I45" i="4"/>
  <c r="I34" i="11" s="1"/>
  <c r="H45" i="4"/>
  <c r="H34" i="11" s="1"/>
  <c r="G45" i="4"/>
  <c r="G34" i="11" s="1"/>
  <c r="F45" i="4"/>
  <c r="F34" i="11" s="1"/>
  <c r="E45" i="4"/>
  <c r="E34" i="11" s="1"/>
  <c r="L25" i="4"/>
  <c r="M25" i="4" s="1"/>
  <c r="L24" i="4"/>
  <c r="M24" i="4" s="1"/>
  <c r="L23" i="4"/>
  <c r="M23" i="4" s="1"/>
  <c r="L22" i="4"/>
  <c r="M22" i="4" s="1"/>
  <c r="L21" i="4"/>
  <c r="L17" i="4"/>
  <c r="K6" i="4"/>
  <c r="G6" i="4"/>
  <c r="G31" i="4" s="1"/>
  <c r="F6" i="4"/>
  <c r="F28" i="4" s="1"/>
  <c r="E6" i="4"/>
  <c r="E15" i="4" s="1"/>
  <c r="L50" i="2"/>
  <c r="K50" i="2"/>
  <c r="J50" i="2"/>
  <c r="I50" i="2"/>
  <c r="H50" i="2"/>
  <c r="G50" i="2"/>
  <c r="F50" i="2"/>
  <c r="E50" i="2"/>
  <c r="M50" i="2"/>
  <c r="L6" i="2"/>
  <c r="K6" i="2"/>
  <c r="J6" i="2"/>
  <c r="I6" i="2"/>
  <c r="H6" i="2"/>
  <c r="G6" i="2"/>
  <c r="F6" i="2"/>
  <c r="E6" i="2"/>
  <c r="N100" i="6" l="1"/>
  <c r="I59" i="6"/>
  <c r="K43" i="4"/>
  <c r="K10" i="4"/>
  <c r="K11" i="4"/>
  <c r="K12" i="4"/>
  <c r="K7" i="4"/>
  <c r="L134" i="4"/>
  <c r="L133" i="4"/>
  <c r="L132" i="4"/>
  <c r="L131" i="4" s="1"/>
  <c r="L129" i="4"/>
  <c r="M129" i="4"/>
  <c r="E128" i="4"/>
  <c r="E137" i="4" s="1"/>
  <c r="K34" i="2"/>
  <c r="K13" i="2" s="1"/>
  <c r="K27" i="2" s="1"/>
  <c r="F128" i="4"/>
  <c r="F137" i="4" s="1"/>
  <c r="I6" i="4"/>
  <c r="I28" i="4" s="1"/>
  <c r="I128" i="4"/>
  <c r="I168" i="4" s="1"/>
  <c r="I34" i="2"/>
  <c r="I13" i="2" s="1"/>
  <c r="I27" i="2" s="1"/>
  <c r="H6" i="4"/>
  <c r="H31" i="4" s="1"/>
  <c r="J6" i="4"/>
  <c r="J28" i="4" s="1"/>
  <c r="J128" i="4"/>
  <c r="J137" i="4" s="1"/>
  <c r="F36" i="11"/>
  <c r="F13" i="11"/>
  <c r="F35" i="11" s="1"/>
  <c r="G36" i="11"/>
  <c r="G13" i="11"/>
  <c r="G35" i="11" s="1"/>
  <c r="J34" i="2"/>
  <c r="J13" i="2" s="1"/>
  <c r="J31" i="2" s="1"/>
  <c r="I137" i="4"/>
  <c r="H36" i="11"/>
  <c r="H13" i="11"/>
  <c r="H35" i="11" s="1"/>
  <c r="G15" i="4"/>
  <c r="I13" i="11"/>
  <c r="I36" i="11"/>
  <c r="M34" i="2"/>
  <c r="N18" i="2"/>
  <c r="N20" i="2" s="1"/>
  <c r="O26" i="2"/>
  <c r="N26" i="2"/>
  <c r="N28" i="2" s="1"/>
  <c r="J36" i="11"/>
  <c r="J13" i="11"/>
  <c r="E34" i="2"/>
  <c r="E13" i="2" s="1"/>
  <c r="E27" i="2" s="1"/>
  <c r="L14" i="4"/>
  <c r="N30" i="2"/>
  <c r="N32" i="2" s="1"/>
  <c r="K36" i="11"/>
  <c r="K13" i="11"/>
  <c r="F34" i="2"/>
  <c r="M17" i="4"/>
  <c r="L34" i="2"/>
  <c r="L13" i="2" s="1"/>
  <c r="L15" i="2" s="1"/>
  <c r="L34" i="11"/>
  <c r="G34" i="2"/>
  <c r="K128" i="4"/>
  <c r="K137" i="4" s="1"/>
  <c r="E13" i="11"/>
  <c r="E35" i="11" s="1"/>
  <c r="H34" i="2"/>
  <c r="H13" i="2" s="1"/>
  <c r="H15" i="2" s="1"/>
  <c r="G36" i="3"/>
  <c r="H36" i="3"/>
  <c r="I36" i="3"/>
  <c r="K36" i="3"/>
  <c r="F36" i="3"/>
  <c r="M36" i="3"/>
  <c r="J36" i="3"/>
  <c r="L36" i="3"/>
  <c r="G13" i="3"/>
  <c r="G35" i="3" s="1"/>
  <c r="L168" i="4"/>
  <c r="L165" i="4"/>
  <c r="L162" i="4"/>
  <c r="L150" i="4"/>
  <c r="L153" i="4"/>
  <c r="L137" i="4"/>
  <c r="S36" i="3"/>
  <c r="AA36" i="3"/>
  <c r="AI36" i="3"/>
  <c r="J35" i="3"/>
  <c r="K7" i="3"/>
  <c r="G7" i="3"/>
  <c r="H38" i="3"/>
  <c r="H48" i="3" s="1"/>
  <c r="I15" i="3"/>
  <c r="I38" i="3"/>
  <c r="I42" i="3" s="1"/>
  <c r="I47" i="3" s="1"/>
  <c r="I54" i="3" s="1"/>
  <c r="I59" i="3" s="1"/>
  <c r="I23" i="3"/>
  <c r="K35" i="3"/>
  <c r="K19" i="3"/>
  <c r="F38" i="3"/>
  <c r="F48" i="3" s="1"/>
  <c r="J19" i="3"/>
  <c r="J38" i="3"/>
  <c r="J48" i="3" s="1"/>
  <c r="K38" i="3"/>
  <c r="K48" i="3" s="1"/>
  <c r="E162" i="4"/>
  <c r="E165" i="4"/>
  <c r="E150" i="4"/>
  <c r="G137" i="4"/>
  <c r="G150" i="4"/>
  <c r="F153" i="4"/>
  <c r="G165" i="4"/>
  <c r="G153" i="4"/>
  <c r="H137" i="4"/>
  <c r="H153" i="4"/>
  <c r="H162" i="4"/>
  <c r="H165" i="4"/>
  <c r="H168" i="4"/>
  <c r="I162" i="4"/>
  <c r="I165" i="4"/>
  <c r="I150" i="4"/>
  <c r="I153" i="4"/>
  <c r="J150" i="4"/>
  <c r="J153" i="4"/>
  <c r="J162" i="4"/>
  <c r="J165" i="4"/>
  <c r="G168" i="4"/>
  <c r="E27" i="3"/>
  <c r="E35" i="3"/>
  <c r="E19" i="3"/>
  <c r="E23" i="3"/>
  <c r="F7" i="3"/>
  <c r="H27" i="3"/>
  <c r="H31" i="3"/>
  <c r="H19" i="3"/>
  <c r="E15" i="3"/>
  <c r="H7" i="3"/>
  <c r="I7" i="3"/>
  <c r="K23" i="3"/>
  <c r="K15" i="3"/>
  <c r="K27" i="3"/>
  <c r="K31" i="3"/>
  <c r="M31" i="3"/>
  <c r="M27" i="3"/>
  <c r="M19" i="3"/>
  <c r="E38" i="3"/>
  <c r="J7" i="3"/>
  <c r="L31" i="3"/>
  <c r="L35" i="3"/>
  <c r="L27" i="3"/>
  <c r="L23" i="3"/>
  <c r="L19" i="3"/>
  <c r="L15" i="3"/>
  <c r="H23" i="3"/>
  <c r="M15" i="3"/>
  <c r="E31" i="3"/>
  <c r="F31" i="3"/>
  <c r="F35" i="3"/>
  <c r="F19" i="3"/>
  <c r="F23" i="3"/>
  <c r="F27" i="3"/>
  <c r="M23" i="3"/>
  <c r="I19" i="3"/>
  <c r="I31" i="3"/>
  <c r="H35" i="3"/>
  <c r="J31" i="3"/>
  <c r="I35" i="3"/>
  <c r="J15" i="3"/>
  <c r="J23" i="3"/>
  <c r="M35" i="3"/>
  <c r="J7" i="2"/>
  <c r="H43" i="4"/>
  <c r="K46" i="4"/>
  <c r="I31" i="4"/>
  <c r="K15" i="4"/>
  <c r="K28" i="4"/>
  <c r="E46" i="4"/>
  <c r="F46" i="4"/>
  <c r="G46" i="4"/>
  <c r="E40" i="4"/>
  <c r="E31" i="4"/>
  <c r="E43" i="4"/>
  <c r="F15" i="4"/>
  <c r="E28" i="4"/>
  <c r="H40" i="4"/>
  <c r="H46" i="4"/>
  <c r="K40" i="4"/>
  <c r="F40" i="4"/>
  <c r="F31" i="4"/>
  <c r="F43" i="4"/>
  <c r="G43" i="4"/>
  <c r="G40" i="4"/>
  <c r="H15" i="4"/>
  <c r="G28" i="4"/>
  <c r="K31" i="4"/>
  <c r="L7" i="2"/>
  <c r="G7" i="2"/>
  <c r="N50" i="2"/>
  <c r="I7" i="2"/>
  <c r="I31" i="2"/>
  <c r="I19" i="2"/>
  <c r="I15" i="2"/>
  <c r="J23" i="2"/>
  <c r="K7" i="2"/>
  <c r="K19" i="2"/>
  <c r="K31" i="2"/>
  <c r="H7" i="2"/>
  <c r="I35" i="2"/>
  <c r="I38" i="2"/>
  <c r="O100" i="6" l="1"/>
  <c r="J59" i="6"/>
  <c r="E23" i="2"/>
  <c r="J27" i="2"/>
  <c r="E15" i="2"/>
  <c r="E31" i="2"/>
  <c r="H38" i="2"/>
  <c r="K38" i="2"/>
  <c r="K48" i="2" s="1"/>
  <c r="E35" i="2"/>
  <c r="J38" i="2"/>
  <c r="J42" i="2" s="1"/>
  <c r="J47" i="2" s="1"/>
  <c r="J54" i="2" s="1"/>
  <c r="J59" i="2" s="1"/>
  <c r="J19" i="2"/>
  <c r="J15" i="2"/>
  <c r="K9" i="4"/>
  <c r="H23" i="2"/>
  <c r="H31" i="2"/>
  <c r="L19" i="2"/>
  <c r="H35" i="2"/>
  <c r="H19" i="2"/>
  <c r="G19" i="3"/>
  <c r="J15" i="4"/>
  <c r="Q45" i="4"/>
  <c r="J43" i="4"/>
  <c r="F168" i="4"/>
  <c r="F150" i="4"/>
  <c r="H27" i="2"/>
  <c r="L38" i="2"/>
  <c r="L42" i="2" s="1"/>
  <c r="J31" i="4"/>
  <c r="H28" i="4"/>
  <c r="F165" i="4"/>
  <c r="I15" i="4"/>
  <c r="L27" i="2"/>
  <c r="E38" i="2"/>
  <c r="E42" i="2" s="1"/>
  <c r="E47" i="2" s="1"/>
  <c r="E54" i="2" s="1"/>
  <c r="E59" i="2" s="1"/>
  <c r="I43" i="4"/>
  <c r="J40" i="4"/>
  <c r="K168" i="4"/>
  <c r="F162" i="4"/>
  <c r="F36" i="2"/>
  <c r="I40" i="4"/>
  <c r="K35" i="2"/>
  <c r="L31" i="2"/>
  <c r="K23" i="2"/>
  <c r="I23" i="2"/>
  <c r="I46" i="4"/>
  <c r="K15" i="2"/>
  <c r="E168" i="4"/>
  <c r="E153" i="4"/>
  <c r="F42" i="3"/>
  <c r="F47" i="3" s="1"/>
  <c r="F54" i="3" s="1"/>
  <c r="F59" i="3" s="1"/>
  <c r="R45" i="4"/>
  <c r="F13" i="2"/>
  <c r="F23" i="2" s="1"/>
  <c r="L36" i="2"/>
  <c r="L23" i="2"/>
  <c r="E19" i="2"/>
  <c r="L13" i="11"/>
  <c r="L19" i="11" s="1"/>
  <c r="M36" i="2"/>
  <c r="L35" i="2"/>
  <c r="O28" i="2"/>
  <c r="K42" i="2"/>
  <c r="K47" i="2" s="1"/>
  <c r="K54" i="2" s="1"/>
  <c r="K59" i="2" s="1"/>
  <c r="I36" i="2"/>
  <c r="N20" i="11"/>
  <c r="P45" i="4"/>
  <c r="K38" i="11"/>
  <c r="K15" i="11"/>
  <c r="K23" i="11"/>
  <c r="K19" i="11"/>
  <c r="K27" i="11"/>
  <c r="K31" i="11"/>
  <c r="I15" i="11"/>
  <c r="I23" i="11"/>
  <c r="I38" i="11"/>
  <c r="I27" i="11"/>
  <c r="I31" i="11"/>
  <c r="I19" i="11"/>
  <c r="K165" i="4"/>
  <c r="K162" i="4"/>
  <c r="H36" i="2"/>
  <c r="G13" i="2"/>
  <c r="K35" i="11"/>
  <c r="O20" i="11"/>
  <c r="O18" i="2"/>
  <c r="O20" i="2" s="1"/>
  <c r="F31" i="11"/>
  <c r="F15" i="11"/>
  <c r="F38" i="11"/>
  <c r="F27" i="11"/>
  <c r="F19" i="11"/>
  <c r="F23" i="11"/>
  <c r="K153" i="4"/>
  <c r="J31" i="11"/>
  <c r="J15" i="11"/>
  <c r="J19" i="11"/>
  <c r="J23" i="11"/>
  <c r="J27" i="11"/>
  <c r="J38" i="11"/>
  <c r="G15" i="11"/>
  <c r="G31" i="11"/>
  <c r="G38" i="11"/>
  <c r="G27" i="11"/>
  <c r="G23" i="11"/>
  <c r="G19" i="11"/>
  <c r="N36" i="11"/>
  <c r="N34" i="2"/>
  <c r="N36" i="2" s="1"/>
  <c r="K150" i="4"/>
  <c r="G36" i="2"/>
  <c r="M36" i="11"/>
  <c r="L36" i="11"/>
  <c r="N32" i="11"/>
  <c r="K36" i="2"/>
  <c r="E19" i="11"/>
  <c r="E15" i="11"/>
  <c r="E23" i="11"/>
  <c r="E31" i="11"/>
  <c r="E38" i="11"/>
  <c r="E27" i="11"/>
  <c r="O30" i="2"/>
  <c r="O32" i="2" s="1"/>
  <c r="O32" i="11"/>
  <c r="N28" i="11"/>
  <c r="H27" i="11"/>
  <c r="H38" i="11"/>
  <c r="H23" i="11"/>
  <c r="H19" i="11"/>
  <c r="H31" i="11"/>
  <c r="H15" i="11"/>
  <c r="J36" i="2"/>
  <c r="M14" i="4"/>
  <c r="M6" i="4" s="1"/>
  <c r="L14" i="11"/>
  <c r="L16" i="11" s="1"/>
  <c r="L6" i="4"/>
  <c r="I35" i="11"/>
  <c r="O45" i="4"/>
  <c r="G27" i="3"/>
  <c r="G15" i="3"/>
  <c r="G23" i="3"/>
  <c r="G31" i="3"/>
  <c r="G38" i="3"/>
  <c r="G42" i="3" s="1"/>
  <c r="G47" i="3" s="1"/>
  <c r="G54" i="3" s="1"/>
  <c r="G59" i="3" s="1"/>
  <c r="H42" i="3"/>
  <c r="H47" i="3" s="1"/>
  <c r="H54" i="3" s="1"/>
  <c r="H59" i="3" s="1"/>
  <c r="P18" i="2"/>
  <c r="O28" i="11"/>
  <c r="J42" i="3"/>
  <c r="J47" i="3" s="1"/>
  <c r="J54" i="3" s="1"/>
  <c r="J59" i="3" s="1"/>
  <c r="I48" i="3"/>
  <c r="K42" i="3"/>
  <c r="K47" i="3" s="1"/>
  <c r="K54" i="3" s="1"/>
  <c r="K59" i="3" s="1"/>
  <c r="O50" i="3"/>
  <c r="N13" i="3"/>
  <c r="N35" i="3" s="1"/>
  <c r="E42" i="3"/>
  <c r="E47" i="3" s="1"/>
  <c r="E54" i="3" s="1"/>
  <c r="E59" i="3" s="1"/>
  <c r="E48" i="3"/>
  <c r="O13" i="3"/>
  <c r="O19" i="3" s="1"/>
  <c r="O50" i="2"/>
  <c r="H48" i="2"/>
  <c r="H42" i="2"/>
  <c r="H47" i="2" s="1"/>
  <c r="H54" i="2" s="1"/>
  <c r="H59" i="2" s="1"/>
  <c r="J48" i="2"/>
  <c r="I48" i="2"/>
  <c r="I42" i="2"/>
  <c r="I47" i="2" s="1"/>
  <c r="I54" i="2" s="1"/>
  <c r="I59" i="2" s="1"/>
  <c r="P100" i="6" l="1"/>
  <c r="K59" i="6"/>
  <c r="F15" i="2"/>
  <c r="L12" i="4"/>
  <c r="L11" i="4"/>
  <c r="L10" i="4"/>
  <c r="L9" i="4" s="1"/>
  <c r="L7" i="4"/>
  <c r="E48" i="2"/>
  <c r="F38" i="2"/>
  <c r="F42" i="2" s="1"/>
  <c r="F47" i="2" s="1"/>
  <c r="F54" i="2" s="1"/>
  <c r="F59" i="2" s="1"/>
  <c r="L48" i="2"/>
  <c r="F27" i="2"/>
  <c r="F31" i="2"/>
  <c r="F35" i="2"/>
  <c r="F19" i="2"/>
  <c r="P26" i="2"/>
  <c r="P28" i="2" s="1"/>
  <c r="G48" i="3"/>
  <c r="S45" i="4"/>
  <c r="L31" i="11"/>
  <c r="L38" i="11"/>
  <c r="L48" i="11" s="1"/>
  <c r="L23" i="11"/>
  <c r="L35" i="11"/>
  <c r="L27" i="11"/>
  <c r="L15" i="11"/>
  <c r="P20" i="2"/>
  <c r="I48" i="11"/>
  <c r="I42" i="11"/>
  <c r="I47" i="11" s="1"/>
  <c r="I54" i="11" s="1"/>
  <c r="I59" i="11" s="1"/>
  <c r="K42" i="11"/>
  <c r="K47" i="11" s="1"/>
  <c r="K54" i="11" s="1"/>
  <c r="K59" i="11" s="1"/>
  <c r="K48" i="11"/>
  <c r="P30" i="2"/>
  <c r="P32" i="2" s="1"/>
  <c r="P32" i="11"/>
  <c r="J48" i="11"/>
  <c r="J42" i="11"/>
  <c r="J47" i="11" s="1"/>
  <c r="J54" i="11" s="1"/>
  <c r="J59" i="11" s="1"/>
  <c r="G31" i="2"/>
  <c r="G15" i="2"/>
  <c r="G35" i="2"/>
  <c r="G27" i="2"/>
  <c r="G19" i="2"/>
  <c r="G23" i="2"/>
  <c r="G38" i="2"/>
  <c r="L15" i="4"/>
  <c r="L46" i="4"/>
  <c r="L31" i="4"/>
  <c r="L28" i="4"/>
  <c r="L40" i="4"/>
  <c r="L43" i="4"/>
  <c r="F42" i="11"/>
  <c r="F47" i="11" s="1"/>
  <c r="F54" i="11" s="1"/>
  <c r="F59" i="11" s="1"/>
  <c r="F48" i="11"/>
  <c r="M14" i="2"/>
  <c r="F48" i="2"/>
  <c r="N14" i="4"/>
  <c r="H48" i="11"/>
  <c r="H42" i="11"/>
  <c r="H47" i="11" s="1"/>
  <c r="H54" i="11" s="1"/>
  <c r="H59" i="11" s="1"/>
  <c r="E42" i="11"/>
  <c r="E47" i="11" s="1"/>
  <c r="E54" i="11" s="1"/>
  <c r="E59" i="11" s="1"/>
  <c r="E48" i="11"/>
  <c r="O24" i="11"/>
  <c r="G48" i="11"/>
  <c r="G42" i="11"/>
  <c r="G47" i="11" s="1"/>
  <c r="G54" i="11" s="1"/>
  <c r="G59" i="11" s="1"/>
  <c r="N24" i="11"/>
  <c r="O34" i="2"/>
  <c r="P28" i="11"/>
  <c r="Q26" i="2"/>
  <c r="Q18" i="2"/>
  <c r="Q20" i="2" s="1"/>
  <c r="P20" i="11"/>
  <c r="N165" i="4"/>
  <c r="N162" i="4"/>
  <c r="N168" i="4"/>
  <c r="N150" i="4"/>
  <c r="N153" i="4"/>
  <c r="N137" i="4"/>
  <c r="L42" i="11"/>
  <c r="L45" i="11" s="1"/>
  <c r="L47" i="11" s="1"/>
  <c r="L54" i="11" s="1"/>
  <c r="L59" i="11" s="1"/>
  <c r="O23" i="3"/>
  <c r="P50" i="3"/>
  <c r="O27" i="3"/>
  <c r="O15" i="3"/>
  <c r="O35" i="3"/>
  <c r="O31" i="3"/>
  <c r="N27" i="3"/>
  <c r="N15" i="3"/>
  <c r="N31" i="3"/>
  <c r="N23" i="3"/>
  <c r="N19" i="3"/>
  <c r="L45" i="2"/>
  <c r="L47" i="2" s="1"/>
  <c r="L54" i="2" s="1"/>
  <c r="L59" i="2" s="1"/>
  <c r="P50" i="2"/>
  <c r="Q100" i="6" l="1"/>
  <c r="L59" i="6"/>
  <c r="Q28" i="2"/>
  <c r="G57" i="6"/>
  <c r="G76" i="6" s="1"/>
  <c r="G17" i="6"/>
  <c r="G36" i="6" s="1"/>
  <c r="G37" i="6" s="1"/>
  <c r="T45" i="4"/>
  <c r="G42" i="2"/>
  <c r="G47" i="2" s="1"/>
  <c r="G54" i="2" s="1"/>
  <c r="G59" i="2" s="1"/>
  <c r="G48" i="2"/>
  <c r="O14" i="4"/>
  <c r="Q30" i="2"/>
  <c r="Q32" i="2" s="1"/>
  <c r="Q32" i="11"/>
  <c r="N14" i="2"/>
  <c r="M16" i="2"/>
  <c r="P24" i="11"/>
  <c r="M13" i="11"/>
  <c r="M16" i="11"/>
  <c r="O36" i="2"/>
  <c r="O36" i="11"/>
  <c r="P34" i="2"/>
  <c r="R18" i="2"/>
  <c r="R20" i="2" s="1"/>
  <c r="Q28" i="11"/>
  <c r="Q20" i="11"/>
  <c r="R26" i="2"/>
  <c r="R28" i="2" s="1"/>
  <c r="O162" i="4"/>
  <c r="O165" i="4"/>
  <c r="O168" i="4"/>
  <c r="O137" i="4"/>
  <c r="O153" i="4"/>
  <c r="O150" i="4"/>
  <c r="P165" i="4"/>
  <c r="P162" i="4"/>
  <c r="P137" i="4"/>
  <c r="P153" i="4"/>
  <c r="P168" i="4"/>
  <c r="P150" i="4"/>
  <c r="Q50" i="3"/>
  <c r="P13" i="3"/>
  <c r="P35" i="3" s="1"/>
  <c r="Q50" i="2"/>
  <c r="G77" i="6" l="1"/>
  <c r="R100" i="6"/>
  <c r="M59" i="6"/>
  <c r="U45" i="4"/>
  <c r="M23" i="11"/>
  <c r="M27" i="11"/>
  <c r="M31" i="11"/>
  <c r="M19" i="11"/>
  <c r="M35" i="11"/>
  <c r="O14" i="2"/>
  <c r="P14" i="4"/>
  <c r="N16" i="2"/>
  <c r="M15" i="11"/>
  <c r="N16" i="11"/>
  <c r="N13" i="11"/>
  <c r="N15" i="11" s="1"/>
  <c r="Q24" i="11"/>
  <c r="R32" i="11"/>
  <c r="R30" i="2"/>
  <c r="R32" i="2" s="1"/>
  <c r="P36" i="11"/>
  <c r="Q34" i="2"/>
  <c r="P36" i="2"/>
  <c r="R28" i="11"/>
  <c r="S18" i="2"/>
  <c r="S20" i="2" s="1"/>
  <c r="S26" i="2"/>
  <c r="S28" i="2" s="1"/>
  <c r="R20" i="11"/>
  <c r="R50" i="3"/>
  <c r="P27" i="3"/>
  <c r="P15" i="3"/>
  <c r="P23" i="3"/>
  <c r="P19" i="3"/>
  <c r="P31" i="3"/>
  <c r="R13" i="3"/>
  <c r="R23" i="3" s="1"/>
  <c r="Q13" i="3"/>
  <c r="R50" i="2"/>
  <c r="S100" i="6" l="1"/>
  <c r="N59" i="6"/>
  <c r="V45" i="4"/>
  <c r="P14" i="2"/>
  <c r="S32" i="11"/>
  <c r="S30" i="2"/>
  <c r="S32" i="2" s="1"/>
  <c r="Q14" i="4"/>
  <c r="O16" i="2"/>
  <c r="O16" i="11"/>
  <c r="O13" i="11"/>
  <c r="R24" i="11"/>
  <c r="N35" i="11"/>
  <c r="N27" i="11"/>
  <c r="N19" i="11"/>
  <c r="N31" i="11"/>
  <c r="N23" i="11"/>
  <c r="Q36" i="2"/>
  <c r="Q36" i="11"/>
  <c r="R34" i="2"/>
  <c r="T18" i="2"/>
  <c r="T20" i="2" s="1"/>
  <c r="S20" i="11"/>
  <c r="S28" i="11"/>
  <c r="T26" i="2"/>
  <c r="T28" i="2" s="1"/>
  <c r="Q165" i="4"/>
  <c r="Q162" i="4"/>
  <c r="Q137" i="4"/>
  <c r="Q153" i="4"/>
  <c r="Q168" i="4"/>
  <c r="Q150" i="4"/>
  <c r="S50" i="3"/>
  <c r="Q27" i="3"/>
  <c r="Q15" i="3"/>
  <c r="Q19" i="3"/>
  <c r="Q31" i="3"/>
  <c r="Q23" i="3"/>
  <c r="R19" i="3"/>
  <c r="R27" i="3"/>
  <c r="R15" i="3"/>
  <c r="R31" i="3"/>
  <c r="R35" i="3"/>
  <c r="Q35" i="3"/>
  <c r="S50" i="2"/>
  <c r="T100" i="6" l="1"/>
  <c r="O59" i="6"/>
  <c r="W45" i="4"/>
  <c r="Q14" i="2"/>
  <c r="R14" i="4"/>
  <c r="S24" i="11"/>
  <c r="T30" i="2"/>
  <c r="T32" i="2" s="1"/>
  <c r="T32" i="11"/>
  <c r="O15" i="11"/>
  <c r="O35" i="11"/>
  <c r="O31" i="11"/>
  <c r="O23" i="11"/>
  <c r="O27" i="11"/>
  <c r="O19" i="11"/>
  <c r="P16" i="11"/>
  <c r="P13" i="11"/>
  <c r="P16" i="2"/>
  <c r="R36" i="2"/>
  <c r="R36" i="11"/>
  <c r="S34" i="2"/>
  <c r="T28" i="11"/>
  <c r="U18" i="2"/>
  <c r="U20" i="2" s="1"/>
  <c r="U26" i="2"/>
  <c r="U28" i="2" s="1"/>
  <c r="T20" i="11"/>
  <c r="R162" i="4"/>
  <c r="R165" i="4"/>
  <c r="R137" i="4"/>
  <c r="R168" i="4"/>
  <c r="R153" i="4"/>
  <c r="R150" i="4"/>
  <c r="T50" i="3"/>
  <c r="S13" i="3"/>
  <c r="T50" i="2"/>
  <c r="U100" i="6" l="1"/>
  <c r="P59" i="6"/>
  <c r="X45" i="4"/>
  <c r="Q16" i="2"/>
  <c r="P35" i="11"/>
  <c r="P19" i="11"/>
  <c r="P15" i="11"/>
  <c r="P31" i="11"/>
  <c r="P27" i="11"/>
  <c r="P23" i="11"/>
  <c r="U30" i="2"/>
  <c r="U32" i="2" s="1"/>
  <c r="U32" i="11"/>
  <c r="Q16" i="11"/>
  <c r="Q13" i="11"/>
  <c r="R14" i="2"/>
  <c r="T24" i="11"/>
  <c r="S14" i="4"/>
  <c r="S36" i="2"/>
  <c r="S36" i="11"/>
  <c r="T34" i="2"/>
  <c r="U20" i="11"/>
  <c r="V18" i="2"/>
  <c r="V20" i="2" s="1"/>
  <c r="V26" i="2"/>
  <c r="V28" i="2" s="1"/>
  <c r="U28" i="11"/>
  <c r="S162" i="4"/>
  <c r="S165" i="4"/>
  <c r="S137" i="4"/>
  <c r="S168" i="4"/>
  <c r="S153" i="4"/>
  <c r="S150" i="4"/>
  <c r="T162" i="4"/>
  <c r="T165" i="4"/>
  <c r="T137" i="4"/>
  <c r="T168" i="4"/>
  <c r="T153" i="4"/>
  <c r="T150" i="4"/>
  <c r="U50" i="3"/>
  <c r="S27" i="3"/>
  <c r="S15" i="3"/>
  <c r="S19" i="3"/>
  <c r="S23" i="3"/>
  <c r="S31" i="3"/>
  <c r="T13" i="3"/>
  <c r="S35" i="3"/>
  <c r="U50" i="2"/>
  <c r="V100" i="6" l="1"/>
  <c r="Q59" i="6"/>
  <c r="Y45" i="4"/>
  <c r="R16" i="2"/>
  <c r="R16" i="11"/>
  <c r="R13" i="11"/>
  <c r="U24" i="11"/>
  <c r="Q35" i="11"/>
  <c r="Q23" i="11"/>
  <c r="Q27" i="11"/>
  <c r="Q15" i="11"/>
  <c r="Q19" i="11"/>
  <c r="Q31" i="11"/>
  <c r="S14" i="2"/>
  <c r="T14" i="4"/>
  <c r="V30" i="2"/>
  <c r="V32" i="2" s="1"/>
  <c r="V32" i="11"/>
  <c r="T36" i="11"/>
  <c r="U34" i="2"/>
  <c r="T36" i="2"/>
  <c r="W18" i="2"/>
  <c r="W20" i="2" s="1"/>
  <c r="W26" i="2"/>
  <c r="W28" i="2" s="1"/>
  <c r="V28" i="11"/>
  <c r="V20" i="11"/>
  <c r="V50" i="3"/>
  <c r="T27" i="3"/>
  <c r="T15" i="3"/>
  <c r="T31" i="3"/>
  <c r="T19" i="3"/>
  <c r="T23" i="3"/>
  <c r="U13" i="3"/>
  <c r="T35" i="3"/>
  <c r="V50" i="2"/>
  <c r="W100" i="6" l="1"/>
  <c r="R59" i="6"/>
  <c r="Z45" i="4"/>
  <c r="S16" i="2"/>
  <c r="S16" i="11"/>
  <c r="S13" i="11"/>
  <c r="V24" i="11"/>
  <c r="W30" i="2"/>
  <c r="W32" i="2" s="1"/>
  <c r="W32" i="11"/>
  <c r="T14" i="2"/>
  <c r="R35" i="11"/>
  <c r="R27" i="11"/>
  <c r="R19" i="11"/>
  <c r="R31" i="11"/>
  <c r="R23" i="11"/>
  <c r="R15" i="11"/>
  <c r="U14" i="4"/>
  <c r="U36" i="2"/>
  <c r="U36" i="11"/>
  <c r="V34" i="2"/>
  <c r="X18" i="2"/>
  <c r="X20" i="2" s="1"/>
  <c r="W28" i="11"/>
  <c r="X26" i="2"/>
  <c r="X28" i="2" s="1"/>
  <c r="W20" i="11"/>
  <c r="V162" i="4"/>
  <c r="V165" i="4"/>
  <c r="V137" i="4"/>
  <c r="V153" i="4"/>
  <c r="V168" i="4"/>
  <c r="V150" i="4"/>
  <c r="U162" i="4"/>
  <c r="U165" i="4"/>
  <c r="U137" i="4"/>
  <c r="U153" i="4"/>
  <c r="U168" i="4"/>
  <c r="U150" i="4"/>
  <c r="W50" i="3"/>
  <c r="U27" i="3"/>
  <c r="U15" i="3"/>
  <c r="U19" i="3"/>
  <c r="U31" i="3"/>
  <c r="U23" i="3"/>
  <c r="U35" i="3"/>
  <c r="V13" i="3"/>
  <c r="W50" i="2"/>
  <c r="Y100" i="6" l="1"/>
  <c r="X100" i="6"/>
  <c r="S59" i="6"/>
  <c r="AA45" i="4"/>
  <c r="W24" i="11"/>
  <c r="S35" i="11"/>
  <c r="S19" i="11"/>
  <c r="S27" i="11"/>
  <c r="S23" i="11"/>
  <c r="S15" i="11"/>
  <c r="S31" i="11"/>
  <c r="X30" i="2"/>
  <c r="X32" i="2" s="1"/>
  <c r="X32" i="11"/>
  <c r="U14" i="2"/>
  <c r="V14" i="4"/>
  <c r="T16" i="2"/>
  <c r="T16" i="11"/>
  <c r="T13" i="11"/>
  <c r="V36" i="2"/>
  <c r="V36" i="11"/>
  <c r="W34" i="2"/>
  <c r="Y18" i="2"/>
  <c r="Y20" i="2" s="1"/>
  <c r="X20" i="11"/>
  <c r="Y26" i="2"/>
  <c r="Y28" i="2" s="1"/>
  <c r="X28" i="11"/>
  <c r="X50" i="3"/>
  <c r="V27" i="3"/>
  <c r="V15" i="3"/>
  <c r="V19" i="3"/>
  <c r="V31" i="3"/>
  <c r="V23" i="3"/>
  <c r="V35" i="3"/>
  <c r="X13" i="3"/>
  <c r="W13" i="3"/>
  <c r="X50" i="2"/>
  <c r="T59" i="6" l="1"/>
  <c r="AB45" i="4"/>
  <c r="V14" i="2"/>
  <c r="U16" i="2"/>
  <c r="W14" i="4"/>
  <c r="U16" i="11"/>
  <c r="U13" i="11"/>
  <c r="Y30" i="2"/>
  <c r="Y32" i="2" s="1"/>
  <c r="Y32" i="11"/>
  <c r="X24" i="11"/>
  <c r="T27" i="11"/>
  <c r="T23" i="11"/>
  <c r="T35" i="11"/>
  <c r="T15" i="11"/>
  <c r="T19" i="11"/>
  <c r="T31" i="11"/>
  <c r="W36" i="11"/>
  <c r="X34" i="2"/>
  <c r="W36" i="2"/>
  <c r="Z18" i="2"/>
  <c r="Z20" i="2" s="1"/>
  <c r="Y28" i="11"/>
  <c r="Z26" i="2"/>
  <c r="Z28" i="2" s="1"/>
  <c r="Y20" i="11"/>
  <c r="W165" i="4"/>
  <c r="W162" i="4"/>
  <c r="W137" i="4"/>
  <c r="W153" i="4"/>
  <c r="W168" i="4"/>
  <c r="W150" i="4"/>
  <c r="Y50" i="3"/>
  <c r="W27" i="3"/>
  <c r="W15" i="3"/>
  <c r="W19" i="3"/>
  <c r="W23" i="3"/>
  <c r="W31" i="3"/>
  <c r="X27" i="3"/>
  <c r="X15" i="3"/>
  <c r="X23" i="3"/>
  <c r="X31" i="3"/>
  <c r="W35" i="3"/>
  <c r="X19" i="3"/>
  <c r="X35" i="3"/>
  <c r="Y13" i="3"/>
  <c r="Y23" i="3" s="1"/>
  <c r="Y50" i="2"/>
  <c r="Z100" i="6" l="1"/>
  <c r="U59" i="6"/>
  <c r="AC45" i="4"/>
  <c r="U19" i="11"/>
  <c r="U27" i="11"/>
  <c r="U23" i="11"/>
  <c r="U15" i="11"/>
  <c r="U31" i="11"/>
  <c r="U35" i="11"/>
  <c r="V16" i="2"/>
  <c r="V16" i="11"/>
  <c r="V13" i="11"/>
  <c r="W14" i="2"/>
  <c r="Y24" i="11"/>
  <c r="X14" i="4"/>
  <c r="Z30" i="2"/>
  <c r="Z32" i="2" s="1"/>
  <c r="Z32" i="11"/>
  <c r="X36" i="2"/>
  <c r="X36" i="11"/>
  <c r="Y34" i="2"/>
  <c r="AA18" i="2"/>
  <c r="AA20" i="2" s="1"/>
  <c r="AA26" i="2"/>
  <c r="AA28" i="2" s="1"/>
  <c r="Z20" i="11"/>
  <c r="Z28" i="11"/>
  <c r="X165" i="4"/>
  <c r="X162" i="4"/>
  <c r="X137" i="4"/>
  <c r="X168" i="4"/>
  <c r="X153" i="4"/>
  <c r="X150" i="4"/>
  <c r="Z50" i="3"/>
  <c r="Y27" i="3"/>
  <c r="Y15" i="3"/>
  <c r="Y19" i="3"/>
  <c r="Y31" i="3"/>
  <c r="Y35" i="3"/>
  <c r="Z13" i="3"/>
  <c r="Z50" i="2"/>
  <c r="AA100" i="6" l="1"/>
  <c r="V59" i="6"/>
  <c r="AD45" i="4"/>
  <c r="W16" i="11"/>
  <c r="W13" i="11"/>
  <c r="V35" i="11"/>
  <c r="V19" i="11"/>
  <c r="V31" i="11"/>
  <c r="V23" i="11"/>
  <c r="V27" i="11"/>
  <c r="V15" i="11"/>
  <c r="X14" i="2"/>
  <c r="Y14" i="4"/>
  <c r="AA32" i="11"/>
  <c r="AA30" i="2"/>
  <c r="AA32" i="2" s="1"/>
  <c r="Z24" i="11"/>
  <c r="W16" i="2"/>
  <c r="Y36" i="11"/>
  <c r="Z34" i="2"/>
  <c r="Y36" i="2"/>
  <c r="AA28" i="11"/>
  <c r="AB26" i="2"/>
  <c r="AB28" i="2" s="1"/>
  <c r="AA20" i="11"/>
  <c r="AB18" i="2"/>
  <c r="AB20" i="2" s="1"/>
  <c r="Y162" i="4"/>
  <c r="Y165" i="4"/>
  <c r="Y137" i="4"/>
  <c r="Y168" i="4"/>
  <c r="Y153" i="4"/>
  <c r="Y150" i="4"/>
  <c r="Z165" i="4"/>
  <c r="Z162" i="4"/>
  <c r="Z137" i="4"/>
  <c r="Z153" i="4"/>
  <c r="Z168" i="4"/>
  <c r="Z150" i="4"/>
  <c r="Z31" i="3"/>
  <c r="Z19" i="3"/>
  <c r="Z23" i="3"/>
  <c r="AA50" i="3"/>
  <c r="Z27" i="3"/>
  <c r="Z15" i="3"/>
  <c r="Z35" i="3"/>
  <c r="AA50" i="2"/>
  <c r="AB100" i="6" l="1"/>
  <c r="W59" i="6"/>
  <c r="AE45" i="4"/>
  <c r="Y14" i="2"/>
  <c r="AB32" i="11"/>
  <c r="AB30" i="2"/>
  <c r="AB32" i="2" s="1"/>
  <c r="Z14" i="4"/>
  <c r="X16" i="2"/>
  <c r="W19" i="11"/>
  <c r="W31" i="11"/>
  <c r="W27" i="11"/>
  <c r="W23" i="11"/>
  <c r="W35" i="11"/>
  <c r="W15" i="11"/>
  <c r="X16" i="11"/>
  <c r="X13" i="11"/>
  <c r="AA24" i="11"/>
  <c r="Z36" i="11"/>
  <c r="Z36" i="2"/>
  <c r="AA34" i="2"/>
  <c r="AB20" i="11"/>
  <c r="AC26" i="2"/>
  <c r="AC28" i="2" s="1"/>
  <c r="AB28" i="11"/>
  <c r="AC18" i="2"/>
  <c r="AC20" i="2" s="1"/>
  <c r="AA165" i="4"/>
  <c r="AA162" i="4"/>
  <c r="AA137" i="4"/>
  <c r="AA168" i="4"/>
  <c r="AA153" i="4"/>
  <c r="AA150" i="4"/>
  <c r="AB50" i="3"/>
  <c r="AA13" i="3"/>
  <c r="AB13" i="3"/>
  <c r="AB31" i="3" s="1"/>
  <c r="AB50" i="2"/>
  <c r="AC100" i="6" l="1"/>
  <c r="X59" i="6"/>
  <c r="AF45" i="4"/>
  <c r="AA14" i="4"/>
  <c r="AC30" i="2"/>
  <c r="AC32" i="2" s="1"/>
  <c r="AC32" i="11"/>
  <c r="AB24" i="11"/>
  <c r="Y16" i="2"/>
  <c r="X23" i="11"/>
  <c r="X35" i="11"/>
  <c r="X31" i="11"/>
  <c r="X27" i="11"/>
  <c r="X19" i="11"/>
  <c r="X15" i="11"/>
  <c r="Z14" i="2"/>
  <c r="Y16" i="11"/>
  <c r="Y13" i="11"/>
  <c r="AA36" i="11"/>
  <c r="AA36" i="2"/>
  <c r="AB34" i="2"/>
  <c r="AC28" i="11"/>
  <c r="AC20" i="11"/>
  <c r="AD26" i="2"/>
  <c r="AD28" i="2" s="1"/>
  <c r="AD18" i="2"/>
  <c r="AD20" i="2" s="1"/>
  <c r="AC50" i="3"/>
  <c r="AB19" i="3"/>
  <c r="AC13" i="3"/>
  <c r="AC31" i="3" s="1"/>
  <c r="AA27" i="3"/>
  <c r="AA15" i="3"/>
  <c r="AA23" i="3"/>
  <c r="AA19" i="3"/>
  <c r="AA31" i="3"/>
  <c r="AA35" i="3"/>
  <c r="AB27" i="3"/>
  <c r="AB15" i="3"/>
  <c r="AB35" i="3"/>
  <c r="AB23" i="3"/>
  <c r="AC50" i="2"/>
  <c r="AD100" i="6" l="1"/>
  <c r="Y59" i="6"/>
  <c r="AG45" i="4"/>
  <c r="Z16" i="2"/>
  <c r="AC24" i="11"/>
  <c r="AD30" i="2"/>
  <c r="AD32" i="2" s="1"/>
  <c r="AD32" i="11"/>
  <c r="Z16" i="11"/>
  <c r="Z13" i="11"/>
  <c r="Y35" i="11"/>
  <c r="Y27" i="11"/>
  <c r="Y31" i="11"/>
  <c r="Y19" i="11"/>
  <c r="Y23" i="11"/>
  <c r="Y15" i="11"/>
  <c r="AA14" i="2"/>
  <c r="AB14" i="4"/>
  <c r="AC34" i="2"/>
  <c r="AB36" i="2"/>
  <c r="AB36" i="11"/>
  <c r="AD20" i="11"/>
  <c r="AE18" i="2"/>
  <c r="AE20" i="2" s="1"/>
  <c r="AD28" i="11"/>
  <c r="AE26" i="2"/>
  <c r="AE28" i="2" s="1"/>
  <c r="AC162" i="4"/>
  <c r="AC165" i="4"/>
  <c r="AC137" i="4"/>
  <c r="AC153" i="4"/>
  <c r="AC168" i="4"/>
  <c r="AC150" i="4"/>
  <c r="AB162" i="4"/>
  <c r="AB165" i="4"/>
  <c r="AB137" i="4"/>
  <c r="AB168" i="4"/>
  <c r="AB153" i="4"/>
  <c r="AB150" i="4"/>
  <c r="AC23" i="3"/>
  <c r="AC19" i="3"/>
  <c r="AD50" i="3"/>
  <c r="AC35" i="3"/>
  <c r="AD13" i="3"/>
  <c r="AC27" i="3"/>
  <c r="AC15" i="3"/>
  <c r="AD50" i="2"/>
  <c r="AE100" i="6" l="1"/>
  <c r="Z59" i="6"/>
  <c r="AH45" i="4"/>
  <c r="AE32" i="11"/>
  <c r="AE30" i="2"/>
  <c r="AE32" i="2" s="1"/>
  <c r="AD24" i="11"/>
  <c r="AB14" i="2"/>
  <c r="AC14" i="4"/>
  <c r="AA16" i="11"/>
  <c r="AA13" i="11"/>
  <c r="AA15" i="11" s="1"/>
  <c r="AA16" i="2"/>
  <c r="Z19" i="11"/>
  <c r="Z27" i="11"/>
  <c r="Z35" i="11"/>
  <c r="Z23" i="11"/>
  <c r="Z31" i="11"/>
  <c r="Z15" i="11"/>
  <c r="AD34" i="2"/>
  <c r="AC36" i="2"/>
  <c r="AC36" i="11"/>
  <c r="AE28" i="11"/>
  <c r="AF18" i="2"/>
  <c r="AF20" i="2" s="1"/>
  <c r="AF26" i="2"/>
  <c r="AF28" i="2" s="1"/>
  <c r="AE20" i="11"/>
  <c r="AD162" i="4"/>
  <c r="AD165" i="4"/>
  <c r="AD137" i="4"/>
  <c r="AD153" i="4"/>
  <c r="AD168" i="4"/>
  <c r="AD150" i="4"/>
  <c r="AE50" i="3"/>
  <c r="AD27" i="3"/>
  <c r="AD15" i="3"/>
  <c r="AD31" i="3"/>
  <c r="AD35" i="3"/>
  <c r="AD23" i="3"/>
  <c r="AD19" i="3"/>
  <c r="AE50" i="2"/>
  <c r="AF100" i="6" l="1"/>
  <c r="AA59" i="6"/>
  <c r="AI45" i="4"/>
  <c r="AE24" i="11"/>
  <c r="AB16" i="2"/>
  <c r="AB16" i="11"/>
  <c r="AB13" i="11"/>
  <c r="AA27" i="11"/>
  <c r="AA35" i="11"/>
  <c r="AA19" i="11"/>
  <c r="AA31" i="11"/>
  <c r="AA23" i="11"/>
  <c r="AC14" i="2"/>
  <c r="AF32" i="11"/>
  <c r="AF30" i="2"/>
  <c r="AF32" i="2" s="1"/>
  <c r="AD14" i="4"/>
  <c r="AD36" i="11"/>
  <c r="AE34" i="2"/>
  <c r="AD36" i="2"/>
  <c r="AF20" i="11"/>
  <c r="AG18" i="2"/>
  <c r="AG20" i="2" s="1"/>
  <c r="AG26" i="2"/>
  <c r="AG28" i="2" s="1"/>
  <c r="AF28" i="11"/>
  <c r="AF50" i="3"/>
  <c r="AF13" i="3"/>
  <c r="AF31" i="3" s="1"/>
  <c r="AE13" i="3"/>
  <c r="AE35" i="3" s="1"/>
  <c r="AF50" i="2"/>
  <c r="AG100" i="6" l="1"/>
  <c r="AB59" i="6"/>
  <c r="AJ45" i="4"/>
  <c r="AG30" i="2"/>
  <c r="AG32" i="2" s="1"/>
  <c r="AG32" i="11"/>
  <c r="AC16" i="2"/>
  <c r="AB23" i="11"/>
  <c r="AB31" i="11"/>
  <c r="AB35" i="11"/>
  <c r="AB15" i="11"/>
  <c r="AB19" i="11"/>
  <c r="AB27" i="11"/>
  <c r="AC16" i="11"/>
  <c r="AC13" i="11"/>
  <c r="AD14" i="2"/>
  <c r="AF24" i="11"/>
  <c r="AE14" i="4"/>
  <c r="AE36" i="2"/>
  <c r="AF34" i="2"/>
  <c r="AE36" i="11"/>
  <c r="AG28" i="11"/>
  <c r="AH26" i="2"/>
  <c r="AH28" i="2" s="1"/>
  <c r="AH18" i="2"/>
  <c r="AH20" i="2" s="1"/>
  <c r="AG20" i="11"/>
  <c r="AE162" i="4"/>
  <c r="AE165" i="4"/>
  <c r="AE137" i="4"/>
  <c r="AE153" i="4"/>
  <c r="AE168" i="4"/>
  <c r="AE150" i="4"/>
  <c r="AG50" i="3"/>
  <c r="AF23" i="3"/>
  <c r="AE27" i="3"/>
  <c r="AE15" i="3"/>
  <c r="AE19" i="3"/>
  <c r="AE31" i="3"/>
  <c r="AE23" i="3"/>
  <c r="AF35" i="3"/>
  <c r="AG13" i="3"/>
  <c r="AF27" i="3"/>
  <c r="AF15" i="3"/>
  <c r="AF19" i="3"/>
  <c r="AG50" i="2"/>
  <c r="AI100" i="6" l="1"/>
  <c r="AH100" i="6"/>
  <c r="AC59" i="6"/>
  <c r="AK45" i="4"/>
  <c r="AC31" i="11"/>
  <c r="AC35" i="11"/>
  <c r="AC15" i="11"/>
  <c r="AC19" i="11"/>
  <c r="AC23" i="11"/>
  <c r="AC27" i="11"/>
  <c r="AE14" i="2"/>
  <c r="AF14" i="4"/>
  <c r="AD16" i="11"/>
  <c r="AD13" i="11"/>
  <c r="AG24" i="11"/>
  <c r="AD16" i="2"/>
  <c r="AH30" i="2"/>
  <c r="AH32" i="2" s="1"/>
  <c r="AH32" i="11"/>
  <c r="AF36" i="11"/>
  <c r="AF36" i="2"/>
  <c r="AG34" i="2"/>
  <c r="AI26" i="2"/>
  <c r="AI28" i="2" s="1"/>
  <c r="AH20" i="11"/>
  <c r="AH28" i="11"/>
  <c r="AI18" i="2"/>
  <c r="AI20" i="2" s="1"/>
  <c r="AF165" i="4"/>
  <c r="AF162" i="4"/>
  <c r="AF137" i="4"/>
  <c r="AF168" i="4"/>
  <c r="AF153" i="4"/>
  <c r="AF150" i="4"/>
  <c r="AH50" i="3"/>
  <c r="AG27" i="3"/>
  <c r="AG15" i="3"/>
  <c r="AG19" i="3"/>
  <c r="AG31" i="3"/>
  <c r="AG23" i="3"/>
  <c r="AG35" i="3"/>
  <c r="AH50" i="2"/>
  <c r="AD59" i="6" l="1"/>
  <c r="AL45" i="4"/>
  <c r="AF14" i="2"/>
  <c r="AG14" i="4"/>
  <c r="AD31" i="11"/>
  <c r="AD23" i="11"/>
  <c r="AD15" i="11"/>
  <c r="AD35" i="11"/>
  <c r="AD19" i="11"/>
  <c r="AD27" i="11"/>
  <c r="AE16" i="11"/>
  <c r="AE13" i="11"/>
  <c r="AH24" i="11"/>
  <c r="AI32" i="11"/>
  <c r="AI30" i="2"/>
  <c r="AI32" i="2" s="1"/>
  <c r="AE16" i="2"/>
  <c r="AG36" i="2"/>
  <c r="AG36" i="11"/>
  <c r="AH34" i="2"/>
  <c r="AI20" i="11"/>
  <c r="AI28" i="11"/>
  <c r="AJ26" i="2"/>
  <c r="AJ28" i="2" s="1"/>
  <c r="AJ18" i="2"/>
  <c r="AJ20" i="2" s="1"/>
  <c r="AG165" i="4"/>
  <c r="AG162" i="4"/>
  <c r="AG137" i="4"/>
  <c r="AG153" i="4"/>
  <c r="AG168" i="4"/>
  <c r="AG150" i="4"/>
  <c r="AH162" i="4"/>
  <c r="AH165" i="4"/>
  <c r="AH137" i="4"/>
  <c r="AH168" i="4"/>
  <c r="AH153" i="4"/>
  <c r="AH150" i="4"/>
  <c r="AI50" i="3"/>
  <c r="AI13" i="3"/>
  <c r="AH13" i="3"/>
  <c r="AI50" i="2"/>
  <c r="AE59" i="6" l="1"/>
  <c r="AN45" i="4"/>
  <c r="AM45" i="4"/>
  <c r="AF16" i="11"/>
  <c r="AF13" i="11"/>
  <c r="AJ32" i="11"/>
  <c r="AJ30" i="2"/>
  <c r="AJ32" i="2" s="1"/>
  <c r="AF16" i="2"/>
  <c r="AG14" i="2"/>
  <c r="AI24" i="11"/>
  <c r="AH14" i="4"/>
  <c r="AE19" i="11"/>
  <c r="AE23" i="11"/>
  <c r="AE27" i="11"/>
  <c r="AE15" i="11"/>
  <c r="AE35" i="11"/>
  <c r="AE31" i="11"/>
  <c r="AH36" i="2"/>
  <c r="AH36" i="11"/>
  <c r="AI34" i="2"/>
  <c r="AK18" i="2"/>
  <c r="AK20" i="2" s="1"/>
  <c r="AJ20" i="11"/>
  <c r="AJ28" i="11"/>
  <c r="AK26" i="2"/>
  <c r="AK28" i="2" s="1"/>
  <c r="AI31" i="3"/>
  <c r="AI19" i="3"/>
  <c r="AI23" i="3"/>
  <c r="AJ50" i="3"/>
  <c r="AH27" i="3"/>
  <c r="AH15" i="3"/>
  <c r="AH23" i="3"/>
  <c r="AH31" i="3"/>
  <c r="AH19" i="3"/>
  <c r="AH35" i="3"/>
  <c r="AI27" i="3"/>
  <c r="AI15" i="3"/>
  <c r="AI35" i="3"/>
  <c r="AJ50" i="2"/>
  <c r="AF59" i="6" l="1"/>
  <c r="AG16" i="11"/>
  <c r="AG13" i="11"/>
  <c r="AG15" i="11" s="1"/>
  <c r="AH14" i="2"/>
  <c r="AI14" i="4"/>
  <c r="AK30" i="2"/>
  <c r="AK32" i="2" s="1"/>
  <c r="AK32" i="11"/>
  <c r="AF35" i="11"/>
  <c r="AF23" i="11"/>
  <c r="AF19" i="11"/>
  <c r="AF15" i="11"/>
  <c r="AF27" i="11"/>
  <c r="AF31" i="11"/>
  <c r="AJ24" i="11"/>
  <c r="AG16" i="2"/>
  <c r="AI36" i="11"/>
  <c r="AJ34" i="2"/>
  <c r="AI36" i="2"/>
  <c r="AK28" i="11"/>
  <c r="AL26" i="2"/>
  <c r="AL28" i="2" s="1"/>
  <c r="AL18" i="2"/>
  <c r="AL20" i="2" s="1"/>
  <c r="AK20" i="11"/>
  <c r="AI165" i="4"/>
  <c r="AI162" i="4"/>
  <c r="AI137" i="4"/>
  <c r="AI153" i="4"/>
  <c r="AI168" i="4"/>
  <c r="AI150" i="4"/>
  <c r="AK50" i="3"/>
  <c r="AJ13" i="3"/>
  <c r="AK50" i="2"/>
  <c r="AG59" i="6" l="1"/>
  <c r="AL30" i="2"/>
  <c r="AL32" i="2" s="1"/>
  <c r="AL32" i="11"/>
  <c r="AI14" i="2"/>
  <c r="AJ14" i="4"/>
  <c r="AG31" i="11"/>
  <c r="AG27" i="11"/>
  <c r="AG19" i="11"/>
  <c r="AG35" i="11"/>
  <c r="AG23" i="11"/>
  <c r="AH16" i="11"/>
  <c r="AH13" i="11"/>
  <c r="AH16" i="2"/>
  <c r="AK24" i="11"/>
  <c r="AJ36" i="2"/>
  <c r="AJ36" i="11"/>
  <c r="AK34" i="2"/>
  <c r="AM18" i="2"/>
  <c r="AM20" i="2" s="1"/>
  <c r="AL28" i="11"/>
  <c r="AM26" i="2"/>
  <c r="AM28" i="2" s="1"/>
  <c r="AL20" i="11"/>
  <c r="AJ165" i="4"/>
  <c r="AJ162" i="4"/>
  <c r="AJ137" i="4"/>
  <c r="AJ168" i="4"/>
  <c r="AJ153" i="4"/>
  <c r="AJ150" i="4"/>
  <c r="AL50" i="3"/>
  <c r="AJ27" i="3"/>
  <c r="AJ15" i="3"/>
  <c r="AJ19" i="3"/>
  <c r="AJ31" i="3"/>
  <c r="AJ23" i="3"/>
  <c r="AJ35" i="3"/>
  <c r="AK13" i="3"/>
  <c r="AK35" i="3" s="1"/>
  <c r="AL50" i="2"/>
  <c r="AI59" i="6" l="1"/>
  <c r="AH59" i="6"/>
  <c r="AJ14" i="2"/>
  <c r="AK14" i="4"/>
  <c r="AH35" i="11"/>
  <c r="AH27" i="11"/>
  <c r="AH19" i="11"/>
  <c r="AH31" i="11"/>
  <c r="AH23" i="11"/>
  <c r="AH15" i="11"/>
  <c r="AI16" i="2"/>
  <c r="AI16" i="11"/>
  <c r="AI13" i="11"/>
  <c r="AL24" i="11"/>
  <c r="AM30" i="2"/>
  <c r="AM32" i="2" s="1"/>
  <c r="AM32" i="11"/>
  <c r="AK36" i="11"/>
  <c r="AK36" i="2"/>
  <c r="AL34" i="2"/>
  <c r="AN18" i="2"/>
  <c r="AN20" i="2" s="1"/>
  <c r="AN26" i="2"/>
  <c r="AN28" i="2" s="1"/>
  <c r="AM28" i="11"/>
  <c r="AM20" i="11"/>
  <c r="AK165" i="4"/>
  <c r="AK162" i="4"/>
  <c r="AK137" i="4"/>
  <c r="AK153" i="4"/>
  <c r="AK168" i="4"/>
  <c r="AK150" i="4"/>
  <c r="AM50" i="3"/>
  <c r="AN50" i="3"/>
  <c r="AK27" i="3"/>
  <c r="AK15" i="3"/>
  <c r="AK31" i="3"/>
  <c r="AK19" i="3"/>
  <c r="AK23" i="3"/>
  <c r="AL13" i="3"/>
  <c r="AN50" i="2"/>
  <c r="AM50" i="2"/>
  <c r="AK14" i="2" l="1"/>
  <c r="AL14" i="4"/>
  <c r="AI35" i="11"/>
  <c r="AI27" i="11"/>
  <c r="AI31" i="11"/>
  <c r="AI15" i="11"/>
  <c r="AI23" i="11"/>
  <c r="AI19" i="11"/>
  <c r="AJ16" i="11"/>
  <c r="AJ13" i="11"/>
  <c r="AN30" i="2"/>
  <c r="AN32" i="2" s="1"/>
  <c r="AN32" i="11"/>
  <c r="AJ16" i="2"/>
  <c r="AM24" i="11"/>
  <c r="AN24" i="11"/>
  <c r="AL36" i="11"/>
  <c r="AM34" i="2"/>
  <c r="AL36" i="2"/>
  <c r="AN28" i="11"/>
  <c r="AN20" i="11"/>
  <c r="AL165" i="4"/>
  <c r="AL162" i="4"/>
  <c r="AL137" i="4"/>
  <c r="AL168" i="4"/>
  <c r="AL153" i="4"/>
  <c r="AL150" i="4"/>
  <c r="AN13" i="3"/>
  <c r="AL27" i="3"/>
  <c r="AL15" i="3"/>
  <c r="AL31" i="3"/>
  <c r="AL23" i="3"/>
  <c r="AL19" i="3"/>
  <c r="AL35" i="3"/>
  <c r="AM13" i="3"/>
  <c r="AL14" i="2" l="1"/>
  <c r="AN14" i="4"/>
  <c r="AM14" i="4"/>
  <c r="AJ27" i="11"/>
  <c r="AJ23" i="11"/>
  <c r="AJ15" i="11"/>
  <c r="AJ31" i="11"/>
  <c r="AJ35" i="11"/>
  <c r="AJ19" i="11"/>
  <c r="AK16" i="11"/>
  <c r="AK13" i="11"/>
  <c r="AK16" i="2"/>
  <c r="AM36" i="2"/>
  <c r="AN34" i="2"/>
  <c r="AM36" i="11"/>
  <c r="AM162" i="4"/>
  <c r="AM165" i="4"/>
  <c r="AM137" i="4"/>
  <c r="AM153" i="4"/>
  <c r="AM168" i="4"/>
  <c r="AM150" i="4"/>
  <c r="AN162" i="4"/>
  <c r="AN165" i="4"/>
  <c r="AN137" i="4"/>
  <c r="AN168" i="4"/>
  <c r="AN153" i="4"/>
  <c r="AN150" i="4"/>
  <c r="AN23" i="3"/>
  <c r="AN31" i="3"/>
  <c r="AM27" i="3"/>
  <c r="AM15" i="3"/>
  <c r="AM19" i="3"/>
  <c r="AM23" i="3"/>
  <c r="AM31" i="3"/>
  <c r="AN19" i="3"/>
  <c r="AM35" i="3"/>
  <c r="AN27" i="3"/>
  <c r="AN15" i="3"/>
  <c r="AN35" i="3"/>
  <c r="AM14" i="2" l="1"/>
  <c r="AN14" i="2"/>
  <c r="AN16" i="11"/>
  <c r="AK19" i="11"/>
  <c r="AK35" i="11"/>
  <c r="AK23" i="11"/>
  <c r="AK15" i="11"/>
  <c r="AK27" i="11"/>
  <c r="AK31" i="11"/>
  <c r="AL16" i="2"/>
  <c r="AL16" i="11"/>
  <c r="AL13" i="11"/>
  <c r="AN36" i="11"/>
  <c r="AN36" i="2"/>
  <c r="AN16" i="2" l="1"/>
  <c r="AM16" i="2"/>
  <c r="AN13" i="11"/>
  <c r="AN23" i="11" s="1"/>
  <c r="AL35" i="11"/>
  <c r="AL23" i="11"/>
  <c r="AL19" i="11"/>
  <c r="AL31" i="11"/>
  <c r="AL27" i="11"/>
  <c r="AL15" i="11"/>
  <c r="AM16" i="11"/>
  <c r="AM13" i="11"/>
  <c r="R38" i="3"/>
  <c r="R48" i="3" s="1"/>
  <c r="Q38" i="3"/>
  <c r="AN19" i="11" l="1"/>
  <c r="AN35" i="11"/>
  <c r="AN31" i="11"/>
  <c r="AN27" i="11"/>
  <c r="AM15" i="11"/>
  <c r="AM35" i="11"/>
  <c r="AM19" i="11"/>
  <c r="AM31" i="11"/>
  <c r="AM23" i="11"/>
  <c r="AM27" i="11"/>
  <c r="AN15" i="11"/>
  <c r="Q42" i="3"/>
  <c r="Q48" i="3"/>
  <c r="S38" i="3"/>
  <c r="S7" i="3"/>
  <c r="R42" i="3"/>
  <c r="R7" i="3"/>
  <c r="R45" i="3" l="1"/>
  <c r="R47" i="3" s="1"/>
  <c r="R54" i="3" s="1"/>
  <c r="R59" i="3" s="1"/>
  <c r="T38" i="3"/>
  <c r="T7" i="3"/>
  <c r="S48" i="3"/>
  <c r="S42" i="3"/>
  <c r="Q45" i="3"/>
  <c r="Q47" i="3" s="1"/>
  <c r="Q54" i="3" s="1"/>
  <c r="Q59" i="3" s="1"/>
  <c r="L98" i="6" l="1"/>
  <c r="L118" i="6" s="1"/>
  <c r="M98" i="6"/>
  <c r="M118" i="6" s="1"/>
  <c r="U7" i="3"/>
  <c r="U38" i="3"/>
  <c r="S45" i="3"/>
  <c r="S47" i="3" s="1"/>
  <c r="S54" i="3" s="1"/>
  <c r="S59" i="3" s="1"/>
  <c r="T42" i="3"/>
  <c r="T48" i="3"/>
  <c r="N98" i="6" l="1"/>
  <c r="N118" i="6" s="1"/>
  <c r="T45" i="3"/>
  <c r="T47" i="3" s="1"/>
  <c r="T54" i="3" s="1"/>
  <c r="T59" i="3" s="1"/>
  <c r="U48" i="3"/>
  <c r="U42" i="3"/>
  <c r="V38" i="3"/>
  <c r="V7" i="3"/>
  <c r="O98" i="6" l="1"/>
  <c r="O118" i="6" s="1"/>
  <c r="W7" i="3"/>
  <c r="W38" i="3"/>
  <c r="V48" i="3"/>
  <c r="V42" i="3"/>
  <c r="U45" i="3"/>
  <c r="U47" i="3" s="1"/>
  <c r="U54" i="3" s="1"/>
  <c r="U59" i="3" s="1"/>
  <c r="P98" i="6" l="1"/>
  <c r="P118" i="6" s="1"/>
  <c r="W48" i="3"/>
  <c r="W42" i="3"/>
  <c r="V45" i="3"/>
  <c r="V47" i="3" s="1"/>
  <c r="V54" i="3" s="1"/>
  <c r="V59" i="3" s="1"/>
  <c r="X7" i="3"/>
  <c r="X38" i="3"/>
  <c r="Q98" i="6" l="1"/>
  <c r="Q118" i="6" s="1"/>
  <c r="X48" i="3"/>
  <c r="X42" i="3"/>
  <c r="Y7" i="3"/>
  <c r="Y38" i="3"/>
  <c r="W45" i="3"/>
  <c r="W47" i="3" s="1"/>
  <c r="W54" i="3" s="1"/>
  <c r="W59" i="3" s="1"/>
  <c r="R98" i="6" l="1"/>
  <c r="R118" i="6" s="1"/>
  <c r="Z38" i="3"/>
  <c r="Z7" i="3"/>
  <c r="Y48" i="3"/>
  <c r="Y42" i="3"/>
  <c r="X45" i="3"/>
  <c r="X47" i="3" s="1"/>
  <c r="X54" i="3" s="1"/>
  <c r="X59" i="3" s="1"/>
  <c r="S98" i="6" l="1"/>
  <c r="S118" i="6" s="1"/>
  <c r="Y45" i="3"/>
  <c r="Y47" i="3" s="1"/>
  <c r="Y54" i="3" s="1"/>
  <c r="Y59" i="3" s="1"/>
  <c r="AA38" i="3"/>
  <c r="AA7" i="3"/>
  <c r="Z48" i="3"/>
  <c r="Z42" i="3"/>
  <c r="T98" i="6" l="1"/>
  <c r="T118" i="6" s="1"/>
  <c r="Z45" i="3"/>
  <c r="Z47" i="3" s="1"/>
  <c r="Z54" i="3" s="1"/>
  <c r="Z59" i="3" s="1"/>
  <c r="AB38" i="3"/>
  <c r="AB7" i="3"/>
  <c r="AA42" i="3"/>
  <c r="AA48" i="3"/>
  <c r="U98" i="6" l="1"/>
  <c r="U118" i="6" s="1"/>
  <c r="AA45" i="3"/>
  <c r="AA47" i="3" s="1"/>
  <c r="AA54" i="3" s="1"/>
  <c r="AA59" i="3" s="1"/>
  <c r="AC38" i="3"/>
  <c r="AC7" i="3"/>
  <c r="AB42" i="3"/>
  <c r="AB48" i="3"/>
  <c r="V98" i="6" l="1"/>
  <c r="V118" i="6" s="1"/>
  <c r="AB45" i="3"/>
  <c r="AB47" i="3" s="1"/>
  <c r="AB54" i="3" s="1"/>
  <c r="AB59" i="3" s="1"/>
  <c r="AC48" i="3"/>
  <c r="AC42" i="3"/>
  <c r="AD38" i="3"/>
  <c r="AD7" i="3"/>
  <c r="W98" i="6" l="1"/>
  <c r="W118" i="6" s="1"/>
  <c r="AD48" i="3"/>
  <c r="AD42" i="3"/>
  <c r="AE7" i="3"/>
  <c r="AE38" i="3"/>
  <c r="AC45" i="3"/>
  <c r="AC47" i="3" s="1"/>
  <c r="AC54" i="3" s="1"/>
  <c r="AC59" i="3" s="1"/>
  <c r="X98" i="6" l="1"/>
  <c r="X118" i="6" s="1"/>
  <c r="AE48" i="3"/>
  <c r="AE42" i="3"/>
  <c r="AD45" i="3"/>
  <c r="AD47" i="3" s="1"/>
  <c r="AD54" i="3" s="1"/>
  <c r="AD59" i="3" s="1"/>
  <c r="AF38" i="3"/>
  <c r="AF7" i="3"/>
  <c r="Y98" i="6" l="1"/>
  <c r="Y118" i="6" s="1"/>
  <c r="AF48" i="3"/>
  <c r="AF42" i="3"/>
  <c r="AG38" i="3"/>
  <c r="AG7" i="3"/>
  <c r="AE45" i="3"/>
  <c r="AE47" i="3" s="1"/>
  <c r="AE54" i="3" s="1"/>
  <c r="AE59" i="3" s="1"/>
  <c r="Z98" i="6" l="1"/>
  <c r="Z118" i="6" s="1"/>
  <c r="AH38" i="3"/>
  <c r="AH7" i="3"/>
  <c r="AF45" i="3"/>
  <c r="AF47" i="3" s="1"/>
  <c r="AF54" i="3" s="1"/>
  <c r="AF59" i="3" s="1"/>
  <c r="AG42" i="3"/>
  <c r="AG48" i="3"/>
  <c r="AA98" i="6" l="1"/>
  <c r="AA118" i="6" s="1"/>
  <c r="AG45" i="3"/>
  <c r="AG47" i="3" s="1"/>
  <c r="AG54" i="3" s="1"/>
  <c r="AG59" i="3" s="1"/>
  <c r="AH48" i="3"/>
  <c r="AH42" i="3"/>
  <c r="AI38" i="3"/>
  <c r="AI7" i="3"/>
  <c r="AB98" i="6" l="1"/>
  <c r="AB118" i="6" s="1"/>
  <c r="AI48" i="3"/>
  <c r="AI42" i="3"/>
  <c r="AH45" i="3"/>
  <c r="AH47" i="3" s="1"/>
  <c r="AH54" i="3" s="1"/>
  <c r="AH59" i="3" s="1"/>
  <c r="AJ7" i="3"/>
  <c r="AJ38" i="3"/>
  <c r="AC98" i="6" l="1"/>
  <c r="AC118" i="6" s="1"/>
  <c r="AI45" i="3"/>
  <c r="AI47" i="3" s="1"/>
  <c r="AI54" i="3" s="1"/>
  <c r="AI59" i="3" s="1"/>
  <c r="AJ48" i="3"/>
  <c r="AJ42" i="3"/>
  <c r="AK38" i="3"/>
  <c r="AK7" i="3"/>
  <c r="AD98" i="6" l="1"/>
  <c r="AD118" i="6" s="1"/>
  <c r="AK42" i="3"/>
  <c r="AK48" i="3"/>
  <c r="AL7" i="3"/>
  <c r="AL38" i="3"/>
  <c r="AJ45" i="3"/>
  <c r="AJ47" i="3" s="1"/>
  <c r="AJ54" i="3" s="1"/>
  <c r="AJ59" i="3" s="1"/>
  <c r="AE98" i="6" l="1"/>
  <c r="AE118" i="6" s="1"/>
  <c r="AM38" i="3"/>
  <c r="AM7" i="3"/>
  <c r="AL42" i="3"/>
  <c r="AL48" i="3"/>
  <c r="AK45" i="3"/>
  <c r="AK47" i="3" s="1"/>
  <c r="AK54" i="3" s="1"/>
  <c r="AK59" i="3" s="1"/>
  <c r="AF98" i="6" l="1"/>
  <c r="AF118" i="6" s="1"/>
  <c r="AN38" i="3"/>
  <c r="AN7" i="3"/>
  <c r="AL45" i="3"/>
  <c r="AL47" i="3" s="1"/>
  <c r="AL54" i="3" s="1"/>
  <c r="AL59" i="3" s="1"/>
  <c r="AM42" i="3"/>
  <c r="AM48" i="3"/>
  <c r="AG98" i="6" l="1"/>
  <c r="AG118" i="6" s="1"/>
  <c r="AM45" i="3"/>
  <c r="AM47" i="3" s="1"/>
  <c r="AM54" i="3" s="1"/>
  <c r="AM59" i="3" s="1"/>
  <c r="AN42" i="3"/>
  <c r="AN48" i="3"/>
  <c r="AH98" i="6" l="1"/>
  <c r="AH118" i="6" s="1"/>
  <c r="AN45" i="3"/>
  <c r="AN47" i="3" s="1"/>
  <c r="AN54" i="3" s="1"/>
  <c r="AN59" i="3" s="1"/>
  <c r="Q7" i="3"/>
  <c r="AI98" i="6" l="1"/>
  <c r="AI118" i="6" s="1"/>
  <c r="P38" i="3"/>
  <c r="P42" i="3" l="1"/>
  <c r="P48" i="3"/>
  <c r="P45" i="3" l="1"/>
  <c r="P47" i="3" s="1"/>
  <c r="P54" i="3" s="1"/>
  <c r="P59" i="3" s="1"/>
  <c r="K98" i="6" s="1"/>
  <c r="K118" i="6" s="1"/>
  <c r="O38" i="3" l="1"/>
  <c r="P7" i="3"/>
  <c r="O42" i="3" l="1"/>
  <c r="O48" i="3"/>
  <c r="O45" i="3" l="1"/>
  <c r="O47" i="3" s="1"/>
  <c r="O54" i="3" s="1"/>
  <c r="O59" i="3" s="1"/>
  <c r="J98" i="6" s="1"/>
  <c r="J118" i="6" s="1"/>
  <c r="M7" i="2" l="1"/>
  <c r="M9" i="11" l="1"/>
  <c r="M11" i="11"/>
  <c r="M10" i="11"/>
  <c r="M7" i="11"/>
  <c r="M8" i="11"/>
  <c r="M38" i="11"/>
  <c r="M48" i="11" l="1"/>
  <c r="M42" i="11"/>
  <c r="M45" i="11" l="1"/>
  <c r="M47" i="11" s="1"/>
  <c r="M54" i="11" s="1"/>
  <c r="M59" i="11" s="1"/>
  <c r="H57" i="6" s="1"/>
  <c r="H76" i="6" s="1"/>
  <c r="H77" i="6" l="1"/>
  <c r="L7" i="3" l="1"/>
  <c r="L8" i="3"/>
  <c r="L38" i="3"/>
  <c r="L48" i="3" s="1"/>
  <c r="L42" i="3" l="1"/>
  <c r="L45" i="3" s="1"/>
  <c r="L47" i="3" s="1"/>
  <c r="L54" i="3" s="1"/>
  <c r="L59" i="3" s="1"/>
  <c r="G98" i="6" s="1"/>
  <c r="G118" i="6" s="1"/>
  <c r="G119" i="6" l="1"/>
  <c r="M7" i="3"/>
  <c r="M38" i="3" l="1"/>
  <c r="O7" i="3" l="1"/>
  <c r="N7" i="3"/>
  <c r="N38" i="3"/>
  <c r="M48" i="3"/>
  <c r="M42" i="3"/>
  <c r="M45" i="3" l="1"/>
  <c r="M47" i="3" s="1"/>
  <c r="M54" i="3" s="1"/>
  <c r="M59" i="3" s="1"/>
  <c r="H98" i="6" s="1"/>
  <c r="H118" i="6" s="1"/>
  <c r="N48" i="3"/>
  <c r="N42" i="3"/>
  <c r="H119" i="6" l="1"/>
  <c r="N45" i="3"/>
  <c r="N47" i="3" s="1"/>
  <c r="N54" i="3" s="1"/>
  <c r="N59" i="3" s="1"/>
  <c r="I98" i="6" s="1"/>
  <c r="I118" i="6" s="1"/>
  <c r="D122" i="6" l="1"/>
  <c r="I119" i="6"/>
  <c r="J119" i="6" s="1"/>
  <c r="K119" i="6" s="1"/>
  <c r="L119" i="6" s="1"/>
  <c r="M119" i="6" s="1"/>
  <c r="N119" i="6" s="1"/>
  <c r="O119" i="6" s="1"/>
  <c r="P119" i="6" s="1"/>
  <c r="Q119" i="6" s="1"/>
  <c r="R119" i="6" s="1"/>
  <c r="S119" i="6" s="1"/>
  <c r="T119" i="6" s="1"/>
  <c r="U119" i="6" s="1"/>
  <c r="V119" i="6" s="1"/>
  <c r="W119" i="6" s="1"/>
  <c r="X119" i="6" s="1"/>
  <c r="Y119" i="6" s="1"/>
  <c r="Z119" i="6" s="1"/>
  <c r="AA119" i="6" s="1"/>
  <c r="AB119" i="6" s="1"/>
  <c r="AC119" i="6" s="1"/>
  <c r="AD119" i="6" s="1"/>
  <c r="AE119" i="6" s="1"/>
  <c r="AF119" i="6" s="1"/>
  <c r="AG119" i="6" s="1"/>
  <c r="AH119" i="6" s="1"/>
  <c r="AI119" i="6" s="1"/>
  <c r="D124" i="6" l="1"/>
  <c r="M17" i="5" s="1"/>
  <c r="M15" i="5"/>
  <c r="N11" i="2"/>
  <c r="N10" i="2"/>
  <c r="N7" i="2"/>
  <c r="N9" i="2"/>
  <c r="O9" i="2"/>
  <c r="O7" i="2"/>
  <c r="O10" i="2"/>
  <c r="O11" i="2"/>
  <c r="R11" i="2"/>
  <c r="R10" i="2"/>
  <c r="R7" i="2"/>
  <c r="R9" i="2"/>
  <c r="U10" i="2"/>
  <c r="U9" i="2"/>
  <c r="U11" i="2"/>
  <c r="U7" i="2"/>
  <c r="V7" i="2"/>
  <c r="V9" i="2"/>
  <c r="V11" i="2"/>
  <c r="V10" i="2"/>
  <c r="S7" i="2"/>
  <c r="S9" i="2"/>
  <c r="S10" i="2"/>
  <c r="S11" i="2"/>
  <c r="Q11" i="2"/>
  <c r="Q9" i="2"/>
  <c r="Q10" i="2"/>
  <c r="Q7" i="2"/>
  <c r="X9" i="2"/>
  <c r="X7" i="2"/>
  <c r="X10" i="2"/>
  <c r="X11" i="2"/>
  <c r="Z10" i="2"/>
  <c r="Z9" i="2"/>
  <c r="Z7" i="2"/>
  <c r="Z11" i="2"/>
  <c r="AC10" i="2"/>
  <c r="AC9" i="2"/>
  <c r="AC11" i="2"/>
  <c r="AC7" i="2"/>
  <c r="AD7" i="2"/>
  <c r="AD10" i="2"/>
  <c r="AD9" i="2"/>
  <c r="AD11" i="2"/>
  <c r="AF11" i="2"/>
  <c r="AF7" i="2"/>
  <c r="AF10" i="2"/>
  <c r="AF9" i="2"/>
  <c r="AG9" i="2"/>
  <c r="AG7" i="2"/>
  <c r="AG10" i="2"/>
  <c r="AG11" i="2"/>
  <c r="AH7" i="2"/>
  <c r="AH10" i="2"/>
  <c r="AH9" i="2"/>
  <c r="AH11" i="2"/>
  <c r="AE7" i="2"/>
  <c r="AE11" i="2"/>
  <c r="AE10" i="2"/>
  <c r="AE9" i="2"/>
  <c r="AI9" i="2"/>
  <c r="AI7" i="2"/>
  <c r="AI10" i="2"/>
  <c r="AI11" i="2"/>
  <c r="AK9" i="2"/>
  <c r="AK10" i="2"/>
  <c r="AK7" i="2"/>
  <c r="AK11" i="2"/>
  <c r="AM11" i="2"/>
  <c r="AM7" i="2"/>
  <c r="AM10" i="2"/>
  <c r="AM9" i="2"/>
  <c r="P10" i="2"/>
  <c r="P7" i="2"/>
  <c r="P9" i="2"/>
  <c r="P11" i="2"/>
  <c r="P11" i="11"/>
  <c r="T7" i="2"/>
  <c r="T11" i="2"/>
  <c r="T10" i="2"/>
  <c r="T9" i="2"/>
  <c r="W11" i="2"/>
  <c r="W10" i="2"/>
  <c r="W7" i="2"/>
  <c r="W9" i="2"/>
  <c r="Y9" i="2"/>
  <c r="Y7" i="2"/>
  <c r="Y11" i="2"/>
  <c r="Y10" i="2"/>
  <c r="AB7" i="2"/>
  <c r="AB11" i="2"/>
  <c r="AB9" i="2"/>
  <c r="AB10" i="2"/>
  <c r="W10" i="11"/>
  <c r="S9" i="11"/>
  <c r="AA11" i="2"/>
  <c r="AA10" i="2"/>
  <c r="AA7" i="2"/>
  <c r="AA9" i="2"/>
  <c r="AJ7" i="2"/>
  <c r="AJ11" i="2"/>
  <c r="AJ10" i="2"/>
  <c r="AJ9" i="2"/>
  <c r="AL11" i="2"/>
  <c r="AL9" i="2"/>
  <c r="AL10" i="2"/>
  <c r="AL7" i="2"/>
  <c r="P8" i="2"/>
  <c r="R9" i="11"/>
  <c r="S8" i="2"/>
  <c r="Z10" i="11"/>
  <c r="Q8" i="2"/>
  <c r="Q11" i="11"/>
  <c r="W8" i="2"/>
  <c r="AN7" i="2"/>
  <c r="AN11" i="2"/>
  <c r="AN9" i="2"/>
  <c r="AN10" i="2"/>
  <c r="R8" i="2"/>
  <c r="AI38" i="11"/>
  <c r="T11" i="11"/>
  <c r="AA8" i="2"/>
  <c r="AA8" i="11"/>
  <c r="AB38" i="11"/>
  <c r="X7" i="11"/>
  <c r="AG8" i="2"/>
  <c r="AG8" i="11"/>
  <c r="AH9" i="11"/>
  <c r="AF11" i="11"/>
  <c r="T8" i="2"/>
  <c r="V8" i="2"/>
  <c r="V8" i="11"/>
  <c r="X8" i="2"/>
  <c r="U8" i="2"/>
  <c r="U9" i="11"/>
  <c r="AB8" i="2"/>
  <c r="AE8" i="11"/>
  <c r="AE8" i="2"/>
  <c r="AF8" i="2"/>
  <c r="O8" i="2"/>
  <c r="O38" i="11"/>
  <c r="Y8" i="2"/>
  <c r="Y11" i="11"/>
  <c r="AK9" i="11"/>
  <c r="AH8" i="2"/>
  <c r="AN38" i="11"/>
  <c r="AN48" i="11" s="1"/>
  <c r="AK8" i="2"/>
  <c r="Z8" i="2"/>
  <c r="AC8" i="2"/>
  <c r="AC9" i="11"/>
  <c r="AD8" i="2"/>
  <c r="AN8" i="2"/>
  <c r="AJ8" i="2"/>
  <c r="AM8" i="2"/>
  <c r="AI8" i="2"/>
  <c r="AL8" i="2"/>
  <c r="N8" i="2"/>
  <c r="N38" i="11"/>
  <c r="N48" i="11" s="1"/>
  <c r="AN42" i="11" l="1"/>
  <c r="AC38" i="11"/>
  <c r="T38" i="11"/>
  <c r="T42" i="11" s="1"/>
  <c r="T45" i="11" s="1"/>
  <c r="T47" i="11" s="1"/>
  <c r="T54" i="11" s="1"/>
  <c r="T59" i="11" s="1"/>
  <c r="O57" i="6" s="1"/>
  <c r="O76" i="6" s="1"/>
  <c r="N42" i="11"/>
  <c r="AK38" i="11"/>
  <c r="AK48" i="11" s="1"/>
  <c r="AE38" i="11"/>
  <c r="W38" i="11"/>
  <c r="W42" i="11" s="1"/>
  <c r="W45" i="11" s="1"/>
  <c r="AL9" i="11"/>
  <c r="AL8" i="11"/>
  <c r="AL7" i="11"/>
  <c r="AL10" i="11"/>
  <c r="AL11" i="11"/>
  <c r="AL38" i="11"/>
  <c r="AB42" i="11"/>
  <c r="AB48" i="11"/>
  <c r="AN45" i="11"/>
  <c r="AN47" i="11" s="1"/>
  <c r="AN54" i="11" s="1"/>
  <c r="AN59" i="11" s="1"/>
  <c r="AI57" i="6" s="1"/>
  <c r="AI76" i="6" s="1"/>
  <c r="AJ76" i="6" s="1"/>
  <c r="AK76" i="6" s="1"/>
  <c r="AL76" i="6" s="1"/>
  <c r="AM76" i="6" s="1"/>
  <c r="AN76" i="6" s="1"/>
  <c r="AO76" i="6" s="1"/>
  <c r="AP76" i="6" s="1"/>
  <c r="AM10" i="11"/>
  <c r="AM7" i="11"/>
  <c r="AM8" i="11"/>
  <c r="AM38" i="11"/>
  <c r="AM11" i="11"/>
  <c r="AM9" i="11"/>
  <c r="N7" i="11"/>
  <c r="N9" i="11"/>
  <c r="N10" i="11"/>
  <c r="N8" i="11"/>
  <c r="N11" i="11"/>
  <c r="AC48" i="11"/>
  <c r="AC42" i="11"/>
  <c r="AI42" i="11"/>
  <c r="AI48" i="11"/>
  <c r="O42" i="11"/>
  <c r="O48" i="11"/>
  <c r="AJ9" i="11"/>
  <c r="AJ11" i="11"/>
  <c r="AJ7" i="11"/>
  <c r="AJ8" i="11"/>
  <c r="AJ38" i="11"/>
  <c r="AJ10" i="11"/>
  <c r="AD7" i="11"/>
  <c r="AD11" i="11"/>
  <c r="AD9" i="11"/>
  <c r="AD10" i="11"/>
  <c r="AD8" i="11"/>
  <c r="AD38" i="11"/>
  <c r="Y38" i="11"/>
  <c r="X38" i="11"/>
  <c r="Q38" i="11"/>
  <c r="AK7" i="11"/>
  <c r="AH8" i="11"/>
  <c r="AG7" i="11"/>
  <c r="AF10" i="11"/>
  <c r="AC7" i="11"/>
  <c r="Y7" i="11"/>
  <c r="U7" i="11"/>
  <c r="T9" i="11"/>
  <c r="AA9" i="11"/>
  <c r="Z9" i="11"/>
  <c r="V10" i="11"/>
  <c r="S8" i="11"/>
  <c r="O11" i="11"/>
  <c r="AN11" i="11"/>
  <c r="AK8" i="11"/>
  <c r="AH10" i="11"/>
  <c r="AG10" i="11"/>
  <c r="AC8" i="11"/>
  <c r="Y10" i="11"/>
  <c r="U8" i="11"/>
  <c r="T7" i="11"/>
  <c r="AA7" i="11"/>
  <c r="Z8" i="11"/>
  <c r="X9" i="11"/>
  <c r="S7" i="11"/>
  <c r="O8" i="11"/>
  <c r="AN7" i="11"/>
  <c r="AK11" i="11"/>
  <c r="R38" i="11"/>
  <c r="AH7" i="11"/>
  <c r="AG11" i="11"/>
  <c r="AE9" i="11"/>
  <c r="S38" i="11"/>
  <c r="Y9" i="11"/>
  <c r="W7" i="11"/>
  <c r="U11" i="11"/>
  <c r="T8" i="11"/>
  <c r="AI7" i="11"/>
  <c r="AB10" i="11"/>
  <c r="AA11" i="11"/>
  <c r="X8" i="11"/>
  <c r="P8" i="11"/>
  <c r="O7" i="11"/>
  <c r="U38" i="11"/>
  <c r="AH38" i="11"/>
  <c r="AG38" i="11"/>
  <c r="AN8" i="11"/>
  <c r="AK10" i="11"/>
  <c r="AH11" i="11"/>
  <c r="AE7" i="11"/>
  <c r="Y8" i="11"/>
  <c r="W9" i="11"/>
  <c r="U10" i="11"/>
  <c r="T10" i="11"/>
  <c r="Q9" i="11"/>
  <c r="AI10" i="11"/>
  <c r="AB7" i="11"/>
  <c r="AA10" i="11"/>
  <c r="X10" i="11"/>
  <c r="R10" i="11"/>
  <c r="P9" i="11"/>
  <c r="O9" i="11"/>
  <c r="AN10" i="11"/>
  <c r="AF7" i="11"/>
  <c r="AE10" i="11"/>
  <c r="W8" i="11"/>
  <c r="P38" i="11"/>
  <c r="Q8" i="11"/>
  <c r="AI9" i="11"/>
  <c r="AB8" i="11"/>
  <c r="X11" i="11"/>
  <c r="V11" i="11"/>
  <c r="R11" i="11"/>
  <c r="P10" i="11"/>
  <c r="O10" i="11"/>
  <c r="AF38" i="11"/>
  <c r="AN9" i="11"/>
  <c r="Z38" i="11"/>
  <c r="AF9" i="11"/>
  <c r="AE11" i="11"/>
  <c r="AC11" i="11"/>
  <c r="W11" i="11"/>
  <c r="Q7" i="11"/>
  <c r="AI8" i="11"/>
  <c r="AB9" i="11"/>
  <c r="Z11" i="11"/>
  <c r="V7" i="11"/>
  <c r="S11" i="11"/>
  <c r="R7" i="11"/>
  <c r="P7" i="11"/>
  <c r="AG9" i="11"/>
  <c r="AF8" i="11"/>
  <c r="AC10" i="11"/>
  <c r="Q10" i="11"/>
  <c r="AI11" i="11"/>
  <c r="AB11" i="11"/>
  <c r="Z7" i="11"/>
  <c r="V9" i="11"/>
  <c r="S10" i="11"/>
  <c r="R8" i="11"/>
  <c r="V38" i="11"/>
  <c r="AA38" i="11"/>
  <c r="AK42" i="11" l="1"/>
  <c r="T48" i="11"/>
  <c r="W48" i="11"/>
  <c r="W47" i="11"/>
  <c r="W54" i="11" s="1"/>
  <c r="W59" i="11" s="1"/>
  <c r="R57" i="6" s="1"/>
  <c r="R76" i="6" s="1"/>
  <c r="N45" i="11"/>
  <c r="N47" i="11" s="1"/>
  <c r="N54" i="11" s="1"/>
  <c r="N59" i="11" s="1"/>
  <c r="I57" i="6" s="1"/>
  <c r="I76" i="6" s="1"/>
  <c r="AE42" i="11"/>
  <c r="AE45" i="11" s="1"/>
  <c r="AE47" i="11" s="1"/>
  <c r="AE54" i="11" s="1"/>
  <c r="AE59" i="11" s="1"/>
  <c r="Z57" i="6" s="1"/>
  <c r="Z76" i="6" s="1"/>
  <c r="AE48" i="11"/>
  <c r="U48" i="11"/>
  <c r="U42" i="11"/>
  <c r="R48" i="11"/>
  <c r="R42" i="11"/>
  <c r="AH48" i="11"/>
  <c r="AH42" i="11"/>
  <c r="AF48" i="11"/>
  <c r="AF42" i="11"/>
  <c r="Y42" i="11"/>
  <c r="Y48" i="11"/>
  <c r="Z42" i="11"/>
  <c r="Z48" i="11"/>
  <c r="AC45" i="11"/>
  <c r="AC47" i="11" s="1"/>
  <c r="AC54" i="11" s="1"/>
  <c r="AC59" i="11" s="1"/>
  <c r="X57" i="6" s="1"/>
  <c r="X76" i="6" s="1"/>
  <c r="AB45" i="11"/>
  <c r="AB47" i="11" s="1"/>
  <c r="AB54" i="11" s="1"/>
  <c r="AB59" i="11" s="1"/>
  <c r="W57" i="6" s="1"/>
  <c r="W76" i="6" s="1"/>
  <c r="AA42" i="11"/>
  <c r="AA48" i="11"/>
  <c r="AL48" i="11"/>
  <c r="AL42" i="11"/>
  <c r="AJ48" i="11"/>
  <c r="AJ42" i="11"/>
  <c r="O45" i="11"/>
  <c r="O47" i="11" s="1"/>
  <c r="O54" i="11" s="1"/>
  <c r="O59" i="11" s="1"/>
  <c r="J57" i="6" s="1"/>
  <c r="J76" i="6" s="1"/>
  <c r="P42" i="11"/>
  <c r="P48" i="11"/>
  <c r="S42" i="11"/>
  <c r="S48" i="11"/>
  <c r="V42" i="11"/>
  <c r="V48" i="11"/>
  <c r="Q42" i="11"/>
  <c r="Q48" i="11"/>
  <c r="AD42" i="11"/>
  <c r="AD48" i="11"/>
  <c r="AM48" i="11"/>
  <c r="AM42" i="11"/>
  <c r="AK45" i="11"/>
  <c r="AK47" i="11" s="1"/>
  <c r="AK54" i="11" s="1"/>
  <c r="AK59" i="11" s="1"/>
  <c r="AF57" i="6" s="1"/>
  <c r="AF76" i="6" s="1"/>
  <c r="AG48" i="11"/>
  <c r="AG42" i="11"/>
  <c r="X42" i="11"/>
  <c r="X48" i="11"/>
  <c r="AI45" i="11"/>
  <c r="AI47" i="11" s="1"/>
  <c r="AI54" i="11" s="1"/>
  <c r="AI59" i="11" s="1"/>
  <c r="AD57" i="6" s="1"/>
  <c r="AD76" i="6" s="1"/>
  <c r="I77" i="6" l="1"/>
  <c r="J77" i="6" s="1"/>
  <c r="P45" i="11"/>
  <c r="P47" i="11"/>
  <c r="P54" i="11" s="1"/>
  <c r="P59" i="11" s="1"/>
  <c r="K57" i="6" s="1"/>
  <c r="K76" i="6" s="1"/>
  <c r="AF45" i="11"/>
  <c r="AF47" i="11" s="1"/>
  <c r="AF54" i="11" s="1"/>
  <c r="AF59" i="11" s="1"/>
  <c r="AA57" i="6" s="1"/>
  <c r="AA76" i="6" s="1"/>
  <c r="AJ45" i="11"/>
  <c r="AJ47" i="11" s="1"/>
  <c r="AJ54" i="11" s="1"/>
  <c r="AJ59" i="11" s="1"/>
  <c r="AE57" i="6" s="1"/>
  <c r="AE76" i="6" s="1"/>
  <c r="AH45" i="11"/>
  <c r="AH47" i="11" s="1"/>
  <c r="AH54" i="11" s="1"/>
  <c r="AH59" i="11" s="1"/>
  <c r="AC57" i="6" s="1"/>
  <c r="AC76" i="6" s="1"/>
  <c r="R45" i="11"/>
  <c r="R47" i="11" s="1"/>
  <c r="R54" i="11" s="1"/>
  <c r="R59" i="11" s="1"/>
  <c r="M57" i="6" s="1"/>
  <c r="M76" i="6" s="1"/>
  <c r="X45" i="11"/>
  <c r="X47" i="11" s="1"/>
  <c r="X54" i="11" s="1"/>
  <c r="X59" i="11" s="1"/>
  <c r="S57" i="6" s="1"/>
  <c r="S76" i="6" s="1"/>
  <c r="AG45" i="11"/>
  <c r="AG47" i="11" s="1"/>
  <c r="AG54" i="11" s="1"/>
  <c r="AG59" i="11" s="1"/>
  <c r="AB57" i="6" s="1"/>
  <c r="AB76" i="6" s="1"/>
  <c r="AD45" i="11"/>
  <c r="AD47" i="11" s="1"/>
  <c r="AD54" i="11" s="1"/>
  <c r="AD59" i="11" s="1"/>
  <c r="Y57" i="6" s="1"/>
  <c r="Y76" i="6" s="1"/>
  <c r="V45" i="11"/>
  <c r="V47" i="11" s="1"/>
  <c r="V54" i="11" s="1"/>
  <c r="V59" i="11" s="1"/>
  <c r="Q57" i="6" s="1"/>
  <c r="Q76" i="6" s="1"/>
  <c r="AA45" i="11"/>
  <c r="AA47" i="11" s="1"/>
  <c r="AA54" i="11" s="1"/>
  <c r="AA59" i="11" s="1"/>
  <c r="V57" i="6" s="1"/>
  <c r="V76" i="6" s="1"/>
  <c r="Z45" i="11"/>
  <c r="Z47" i="11" s="1"/>
  <c r="Z54" i="11" s="1"/>
  <c r="Z59" i="11" s="1"/>
  <c r="U57" i="6" s="1"/>
  <c r="U76" i="6" s="1"/>
  <c r="AM45" i="11"/>
  <c r="AM47" i="11" s="1"/>
  <c r="AM54" i="11" s="1"/>
  <c r="AM59" i="11" s="1"/>
  <c r="AH57" i="6" s="1"/>
  <c r="AH76" i="6" s="1"/>
  <c r="S45" i="11"/>
  <c r="S47" i="11" s="1"/>
  <c r="S54" i="11" s="1"/>
  <c r="S59" i="11" s="1"/>
  <c r="N57" i="6" s="1"/>
  <c r="N76" i="6" s="1"/>
  <c r="U45" i="11"/>
  <c r="U47" i="11" s="1"/>
  <c r="U54" i="11" s="1"/>
  <c r="U59" i="11" s="1"/>
  <c r="P57" i="6" s="1"/>
  <c r="P76" i="6" s="1"/>
  <c r="Q45" i="11"/>
  <c r="Q47" i="11" s="1"/>
  <c r="Q54" i="11" s="1"/>
  <c r="Q59" i="11" s="1"/>
  <c r="L57" i="6" s="1"/>
  <c r="L76" i="6" s="1"/>
  <c r="AL45" i="11"/>
  <c r="AL47" i="11" s="1"/>
  <c r="AL54" i="11" s="1"/>
  <c r="AL59" i="11" s="1"/>
  <c r="AG57" i="6" s="1"/>
  <c r="AG76" i="6" s="1"/>
  <c r="Y45" i="11"/>
  <c r="Y47" i="11" s="1"/>
  <c r="Y54" i="11" s="1"/>
  <c r="Y59" i="11" s="1"/>
  <c r="T57" i="6" s="1"/>
  <c r="T76" i="6" s="1"/>
  <c r="D79" i="6" l="1"/>
  <c r="K77" i="6"/>
  <c r="L77" i="6" s="1"/>
  <c r="M77" i="6" s="1"/>
  <c r="N77" i="6" s="1"/>
  <c r="O77" i="6" s="1"/>
  <c r="P77" i="6" s="1"/>
  <c r="Q77" i="6" s="1"/>
  <c r="R77" i="6" s="1"/>
  <c r="S77" i="6" s="1"/>
  <c r="T77" i="6" s="1"/>
  <c r="U77" i="6" s="1"/>
  <c r="V77" i="6" s="1"/>
  <c r="W77" i="6" s="1"/>
  <c r="X77" i="6" s="1"/>
  <c r="Y77" i="6" s="1"/>
  <c r="Z77" i="6" s="1"/>
  <c r="AA77" i="6" s="1"/>
  <c r="AB77" i="6" s="1"/>
  <c r="AC77" i="6" s="1"/>
  <c r="AD77" i="6" s="1"/>
  <c r="AE77" i="6" s="1"/>
  <c r="AF77" i="6" s="1"/>
  <c r="AG77" i="6" s="1"/>
  <c r="AH77" i="6" s="1"/>
  <c r="AI77" i="6" s="1"/>
  <c r="D81" i="6" l="1"/>
  <c r="H17" i="5" s="1"/>
  <c r="H15" i="5"/>
  <c r="M7" i="4"/>
  <c r="N36" i="4"/>
  <c r="O36" i="4" s="1"/>
  <c r="P36" i="4" s="1"/>
  <c r="Q36" i="4" s="1"/>
  <c r="R36" i="4" s="1"/>
  <c r="S36" i="4" s="1"/>
  <c r="T36" i="4" s="1"/>
  <c r="U36" i="4" s="1"/>
  <c r="V36" i="4" s="1"/>
  <c r="W36" i="4" s="1"/>
  <c r="X36" i="4" s="1"/>
  <c r="Y36" i="4" s="1"/>
  <c r="Z36" i="4" s="1"/>
  <c r="AA36" i="4" s="1"/>
  <c r="AB36" i="4" s="1"/>
  <c r="AC36" i="4" s="1"/>
  <c r="AD36" i="4" s="1"/>
  <c r="AE36" i="4" s="1"/>
  <c r="AF36" i="4" s="1"/>
  <c r="AG36" i="4" s="1"/>
  <c r="AH36" i="4" s="1"/>
  <c r="AI36" i="4" s="1"/>
  <c r="AJ36" i="4" s="1"/>
  <c r="AK36" i="4" s="1"/>
  <c r="AL36" i="4" s="1"/>
  <c r="AM36" i="4" s="1"/>
  <c r="AN36" i="4" s="1"/>
  <c r="N37" i="4"/>
  <c r="O37" i="4" s="1"/>
  <c r="P37" i="4" s="1"/>
  <c r="Q37" i="4" s="1"/>
  <c r="R37" i="4" s="1"/>
  <c r="S37" i="4" s="1"/>
  <c r="T37" i="4" s="1"/>
  <c r="U37" i="4" s="1"/>
  <c r="V37" i="4" s="1"/>
  <c r="W37" i="4" s="1"/>
  <c r="X37" i="4" s="1"/>
  <c r="Y37" i="4" s="1"/>
  <c r="Z37" i="4" s="1"/>
  <c r="AA37" i="4" s="1"/>
  <c r="AB37" i="4" s="1"/>
  <c r="AC37" i="4" s="1"/>
  <c r="AD37" i="4" s="1"/>
  <c r="AE37" i="4" s="1"/>
  <c r="AF37" i="4" s="1"/>
  <c r="AG37" i="4" s="1"/>
  <c r="AH37" i="4" s="1"/>
  <c r="AI37" i="4" s="1"/>
  <c r="AJ37" i="4" s="1"/>
  <c r="AK37" i="4" s="1"/>
  <c r="AL37" i="4" s="1"/>
  <c r="AM37" i="4" s="1"/>
  <c r="AN37" i="4" s="1"/>
  <c r="N35" i="4"/>
  <c r="M22" i="2"/>
  <c r="M13" i="2" s="1"/>
  <c r="M31" i="2" l="1"/>
  <c r="M27" i="2"/>
  <c r="M35" i="2"/>
  <c r="M15" i="2"/>
  <c r="M19" i="2"/>
  <c r="M38" i="2"/>
  <c r="N30" i="4"/>
  <c r="O35" i="4"/>
  <c r="M24" i="2"/>
  <c r="M23" i="2"/>
  <c r="M40" i="4"/>
  <c r="M46" i="4"/>
  <c r="M11" i="4"/>
  <c r="M28" i="4"/>
  <c r="M43" i="4"/>
  <c r="M31" i="4"/>
  <c r="M12" i="4"/>
  <c r="M10" i="4"/>
  <c r="M15" i="4"/>
  <c r="M9" i="4" l="1"/>
  <c r="O30" i="4"/>
  <c r="P35" i="4"/>
  <c r="N6" i="4"/>
  <c r="N22" i="2"/>
  <c r="M48" i="2"/>
  <c r="M42" i="2"/>
  <c r="M45" i="2" l="1"/>
  <c r="M47" i="2"/>
  <c r="M54" i="2" s="1"/>
  <c r="M59" i="2" s="1"/>
  <c r="H17" i="6" s="1"/>
  <c r="H36" i="6" s="1"/>
  <c r="H37" i="6" s="1"/>
  <c r="N13" i="2"/>
  <c r="N23" i="2" s="1"/>
  <c r="N24" i="2"/>
  <c r="P30" i="4"/>
  <c r="Q35" i="4"/>
  <c r="N40" i="4"/>
  <c r="N12" i="4"/>
  <c r="N10" i="4"/>
  <c r="N11" i="4"/>
  <c r="N46" i="4"/>
  <c r="N28" i="4"/>
  <c r="N15" i="4"/>
  <c r="N43" i="4"/>
  <c r="N7" i="4"/>
  <c r="N31" i="4"/>
  <c r="O22" i="2"/>
  <c r="O6" i="4"/>
  <c r="N9" i="4" l="1"/>
  <c r="P6" i="4"/>
  <c r="P31" i="4" s="1"/>
  <c r="P22" i="2"/>
  <c r="Q30" i="4"/>
  <c r="R35" i="4"/>
  <c r="O12" i="4"/>
  <c r="O40" i="4"/>
  <c r="O7" i="4"/>
  <c r="O43" i="4"/>
  <c r="O28" i="4"/>
  <c r="O11" i="4"/>
  <c r="O46" i="4"/>
  <c r="O15" i="4"/>
  <c r="O10" i="4"/>
  <c r="O24" i="2"/>
  <c r="O13" i="2"/>
  <c r="O23" i="2" s="1"/>
  <c r="N19" i="2"/>
  <c r="N15" i="2"/>
  <c r="N31" i="2"/>
  <c r="N35" i="2"/>
  <c r="N38" i="2"/>
  <c r="N27" i="2"/>
  <c r="O31" i="4"/>
  <c r="O9" i="4" l="1"/>
  <c r="P24" i="2"/>
  <c r="P13" i="2"/>
  <c r="N48" i="2"/>
  <c r="N42" i="2"/>
  <c r="R30" i="4"/>
  <c r="S35" i="4"/>
  <c r="Q6" i="4"/>
  <c r="Q31" i="4" s="1"/>
  <c r="Q22" i="2"/>
  <c r="O27" i="2"/>
  <c r="O15" i="2"/>
  <c r="O35" i="2"/>
  <c r="O38" i="2"/>
  <c r="O19" i="2"/>
  <c r="O31" i="2"/>
  <c r="P43" i="4"/>
  <c r="P46" i="4"/>
  <c r="P10" i="4"/>
  <c r="P28" i="4"/>
  <c r="P7" i="4"/>
  <c r="P40" i="4"/>
  <c r="P12" i="4"/>
  <c r="P15" i="4"/>
  <c r="P11" i="4"/>
  <c r="O48" i="2" l="1"/>
  <c r="O42" i="2"/>
  <c r="P9" i="4"/>
  <c r="P15" i="2"/>
  <c r="P27" i="2"/>
  <c r="P19" i="2"/>
  <c r="P31" i="2"/>
  <c r="P38" i="2"/>
  <c r="P35" i="2"/>
  <c r="R6" i="4"/>
  <c r="R22" i="2"/>
  <c r="N45" i="2"/>
  <c r="N47" i="2" s="1"/>
  <c r="N54" i="2" s="1"/>
  <c r="N59" i="2" s="1"/>
  <c r="I17" i="6" s="1"/>
  <c r="I36" i="6" s="1"/>
  <c r="I37" i="6" s="1"/>
  <c r="Q24" i="2"/>
  <c r="Q13" i="2"/>
  <c r="Q23" i="2" s="1"/>
  <c r="P23" i="2"/>
  <c r="S30" i="4"/>
  <c r="T35" i="4"/>
  <c r="Q12" i="4"/>
  <c r="Q11" i="4"/>
  <c r="Q28" i="4"/>
  <c r="Q7" i="4"/>
  <c r="Q15" i="4"/>
  <c r="Q43" i="4"/>
  <c r="Q10" i="4"/>
  <c r="Q46" i="4"/>
  <c r="Q40" i="4"/>
  <c r="P48" i="2" l="1"/>
  <c r="P42" i="2"/>
  <c r="U35" i="4"/>
  <c r="T30" i="4"/>
  <c r="R24" i="2"/>
  <c r="R13" i="2"/>
  <c r="R7" i="4"/>
  <c r="R46" i="4"/>
  <c r="R11" i="4"/>
  <c r="R40" i="4"/>
  <c r="R43" i="4"/>
  <c r="R10" i="4"/>
  <c r="R12" i="4"/>
  <c r="R28" i="4"/>
  <c r="R15" i="4"/>
  <c r="Q9" i="4"/>
  <c r="R31" i="4"/>
  <c r="O45" i="2"/>
  <c r="O47" i="2" s="1"/>
  <c r="O54" i="2" s="1"/>
  <c r="O59" i="2" s="1"/>
  <c r="J17" i="6" s="1"/>
  <c r="J36" i="6" s="1"/>
  <c r="J37" i="6" s="1"/>
  <c r="S6" i="4"/>
  <c r="S22" i="2"/>
  <c r="Q15" i="2"/>
  <c r="Q35" i="2"/>
  <c r="Q27" i="2"/>
  <c r="Q19" i="2"/>
  <c r="Q31" i="2"/>
  <c r="Q38" i="2"/>
  <c r="S24" i="2" l="1"/>
  <c r="S13" i="2"/>
  <c r="R31" i="2"/>
  <c r="R38" i="2"/>
  <c r="R15" i="2"/>
  <c r="R27" i="2"/>
  <c r="R35" i="2"/>
  <c r="R19" i="2"/>
  <c r="T6" i="4"/>
  <c r="T22" i="2"/>
  <c r="Q48" i="2"/>
  <c r="Q42" i="2"/>
  <c r="R9" i="4"/>
  <c r="V35" i="4"/>
  <c r="U30" i="4"/>
  <c r="P45" i="2"/>
  <c r="P47" i="2" s="1"/>
  <c r="P54" i="2" s="1"/>
  <c r="P59" i="2" s="1"/>
  <c r="K17" i="6" s="1"/>
  <c r="K36" i="6" s="1"/>
  <c r="K37" i="6" s="1"/>
  <c r="S40" i="4"/>
  <c r="S10" i="4"/>
  <c r="S12" i="4"/>
  <c r="S15" i="4"/>
  <c r="S7" i="4"/>
  <c r="S43" i="4"/>
  <c r="S28" i="4"/>
  <c r="S46" i="4"/>
  <c r="S11" i="4"/>
  <c r="S31" i="4"/>
  <c r="R23" i="2"/>
  <c r="S9" i="4" l="1"/>
  <c r="R48" i="2"/>
  <c r="R42" i="2"/>
  <c r="S31" i="2"/>
  <c r="S27" i="2"/>
  <c r="S35" i="2"/>
  <c r="S15" i="2"/>
  <c r="S19" i="2"/>
  <c r="S38" i="2"/>
  <c r="S23" i="2"/>
  <c r="Q45" i="2"/>
  <c r="Q47" i="2"/>
  <c r="Q54" i="2" s="1"/>
  <c r="Q59" i="2" s="1"/>
  <c r="L17" i="6" s="1"/>
  <c r="L36" i="6" s="1"/>
  <c r="L37" i="6" s="1"/>
  <c r="T13" i="2"/>
  <c r="T24" i="2"/>
  <c r="T23" i="2"/>
  <c r="T11" i="4"/>
  <c r="T46" i="4"/>
  <c r="T12" i="4"/>
  <c r="T15" i="4"/>
  <c r="T28" i="4"/>
  <c r="T43" i="4"/>
  <c r="T10" i="4"/>
  <c r="T40" i="4"/>
  <c r="T7" i="4"/>
  <c r="T31" i="4"/>
  <c r="U6" i="4"/>
  <c r="U22" i="2"/>
  <c r="W35" i="4"/>
  <c r="V30" i="4"/>
  <c r="T9" i="4" l="1"/>
  <c r="V6" i="4"/>
  <c r="V22" i="2"/>
  <c r="T38" i="2"/>
  <c r="T35" i="2"/>
  <c r="T19" i="2"/>
  <c r="T31" i="2"/>
  <c r="T15" i="2"/>
  <c r="T27" i="2"/>
  <c r="U12" i="4"/>
  <c r="U7" i="4"/>
  <c r="U43" i="4"/>
  <c r="U15" i="4"/>
  <c r="U46" i="4"/>
  <c r="U10" i="4"/>
  <c r="U11" i="4"/>
  <c r="U40" i="4"/>
  <c r="U28" i="4"/>
  <c r="X35" i="4"/>
  <c r="W30" i="4"/>
  <c r="U24" i="2"/>
  <c r="U13" i="2"/>
  <c r="U23" i="2" s="1"/>
  <c r="R45" i="2"/>
  <c r="R47" i="2" s="1"/>
  <c r="R54" i="2" s="1"/>
  <c r="R59" i="2" s="1"/>
  <c r="M17" i="6" s="1"/>
  <c r="M36" i="6" s="1"/>
  <c r="M37" i="6" s="1"/>
  <c r="U31" i="4"/>
  <c r="S48" i="2"/>
  <c r="S42" i="2"/>
  <c r="S45" i="2" l="1"/>
  <c r="S47" i="2" s="1"/>
  <c r="S54" i="2" s="1"/>
  <c r="S59" i="2" s="1"/>
  <c r="N17" i="6" s="1"/>
  <c r="N36" i="6" s="1"/>
  <c r="N37" i="6" s="1"/>
  <c r="V24" i="2"/>
  <c r="V13" i="2"/>
  <c r="V23" i="2" s="1"/>
  <c r="W6" i="4"/>
  <c r="W22" i="2"/>
  <c r="V12" i="4"/>
  <c r="V10" i="4"/>
  <c r="V11" i="4"/>
  <c r="V46" i="4"/>
  <c r="V43" i="4"/>
  <c r="V15" i="4"/>
  <c r="V28" i="4"/>
  <c r="V7" i="4"/>
  <c r="V40" i="4"/>
  <c r="V31" i="4"/>
  <c r="T48" i="2"/>
  <c r="T42" i="2"/>
  <c r="X30" i="4"/>
  <c r="Y35" i="4"/>
  <c r="U15" i="2"/>
  <c r="U27" i="2"/>
  <c r="U35" i="2"/>
  <c r="U31" i="2"/>
  <c r="U19" i="2"/>
  <c r="U38" i="2"/>
  <c r="U9" i="4"/>
  <c r="Y30" i="4" l="1"/>
  <c r="Z35" i="4"/>
  <c r="W15" i="4"/>
  <c r="W10" i="4"/>
  <c r="W40" i="4"/>
  <c r="W46" i="4"/>
  <c r="W11" i="4"/>
  <c r="W7" i="4"/>
  <c r="W12" i="4"/>
  <c r="W43" i="4"/>
  <c r="W28" i="4"/>
  <c r="V35" i="2"/>
  <c r="V15" i="2"/>
  <c r="V31" i="2"/>
  <c r="V27" i="2"/>
  <c r="V19" i="2"/>
  <c r="V38" i="2"/>
  <c r="X6" i="4"/>
  <c r="X22" i="2"/>
  <c r="U48" i="2"/>
  <c r="U42" i="2"/>
  <c r="W31" i="4"/>
  <c r="T45" i="2"/>
  <c r="T47" i="2" s="1"/>
  <c r="T54" i="2" s="1"/>
  <c r="T59" i="2" s="1"/>
  <c r="O17" i="6" s="1"/>
  <c r="O36" i="6" s="1"/>
  <c r="O37" i="6" s="1"/>
  <c r="V9" i="4"/>
  <c r="W24" i="2"/>
  <c r="W13" i="2"/>
  <c r="U45" i="2" l="1"/>
  <c r="U47" i="2" s="1"/>
  <c r="U54" i="2" s="1"/>
  <c r="U59" i="2" s="1"/>
  <c r="P17" i="6" s="1"/>
  <c r="P36" i="6" s="1"/>
  <c r="P37" i="6" s="1"/>
  <c r="W35" i="2"/>
  <c r="W31" i="2"/>
  <c r="W27" i="2"/>
  <c r="W19" i="2"/>
  <c r="W15" i="2"/>
  <c r="W38" i="2"/>
  <c r="W9" i="4"/>
  <c r="Z30" i="4"/>
  <c r="AA35" i="4"/>
  <c r="X13" i="2"/>
  <c r="X24" i="2"/>
  <c r="X23" i="2"/>
  <c r="W23" i="2"/>
  <c r="V48" i="2"/>
  <c r="V42" i="2"/>
  <c r="Y6" i="4"/>
  <c r="Y22" i="2"/>
  <c r="X12" i="4"/>
  <c r="X11" i="4"/>
  <c r="X10" i="4"/>
  <c r="X7" i="4"/>
  <c r="X15" i="4"/>
  <c r="X28" i="4"/>
  <c r="X40" i="4"/>
  <c r="X46" i="4"/>
  <c r="X43" i="4"/>
  <c r="X31" i="4"/>
  <c r="X9" i="4" l="1"/>
  <c r="Y24" i="2"/>
  <c r="Y13" i="2"/>
  <c r="Y23" i="2"/>
  <c r="X27" i="2"/>
  <c r="X31" i="2"/>
  <c r="X19" i="2"/>
  <c r="X38" i="2"/>
  <c r="X35" i="2"/>
  <c r="X15" i="2"/>
  <c r="Y43" i="4"/>
  <c r="Y11" i="4"/>
  <c r="Y46" i="4"/>
  <c r="Y7" i="4"/>
  <c r="Y10" i="4"/>
  <c r="Y9" i="4" s="1"/>
  <c r="Y28" i="4"/>
  <c r="Y12" i="4"/>
  <c r="Y40" i="4"/>
  <c r="Y15" i="4"/>
  <c r="AA30" i="4"/>
  <c r="AB35" i="4"/>
  <c r="Y31" i="4"/>
  <c r="Z6" i="4"/>
  <c r="Z22" i="2"/>
  <c r="V45" i="2"/>
  <c r="V47" i="2" s="1"/>
  <c r="V54" i="2" s="1"/>
  <c r="V59" i="2" s="1"/>
  <c r="Q17" i="6" s="1"/>
  <c r="Q36" i="6" s="1"/>
  <c r="Q37" i="6" s="1"/>
  <c r="W48" i="2"/>
  <c r="W42" i="2"/>
  <c r="X48" i="2" l="1"/>
  <c r="X42" i="2"/>
  <c r="W45" i="2"/>
  <c r="W47" i="2"/>
  <c r="W54" i="2" s="1"/>
  <c r="W59" i="2" s="1"/>
  <c r="R17" i="6" s="1"/>
  <c r="R36" i="6" s="1"/>
  <c r="R37" i="6" s="1"/>
  <c r="Y19" i="2"/>
  <c r="Y35" i="2"/>
  <c r="Y15" i="2"/>
  <c r="Y27" i="2"/>
  <c r="Y38" i="2"/>
  <c r="Y31" i="2"/>
  <c r="Z46" i="4"/>
  <c r="Z7" i="4"/>
  <c r="Z28" i="4"/>
  <c r="Z15" i="4"/>
  <c r="Z12" i="4"/>
  <c r="Z43" i="4"/>
  <c r="Z40" i="4"/>
  <c r="Z10" i="4"/>
  <c r="Z11" i="4"/>
  <c r="Z31" i="4"/>
  <c r="AC35" i="4"/>
  <c r="AB30" i="4"/>
  <c r="AA31" i="4"/>
  <c r="AA22" i="2"/>
  <c r="AA6" i="4"/>
  <c r="Z24" i="2"/>
  <c r="Z13" i="2"/>
  <c r="AD35" i="4" l="1"/>
  <c r="AC30" i="4"/>
  <c r="Z19" i="2"/>
  <c r="Z35" i="2"/>
  <c r="Z27" i="2"/>
  <c r="Z31" i="2"/>
  <c r="Z15" i="2"/>
  <c r="Z38" i="2"/>
  <c r="X45" i="2"/>
  <c r="X47" i="2"/>
  <c r="X54" i="2" s="1"/>
  <c r="X59" i="2" s="1"/>
  <c r="S17" i="6" s="1"/>
  <c r="S36" i="6" s="1"/>
  <c r="S37" i="6" s="1"/>
  <c r="Z9" i="4"/>
  <c r="Y42" i="2"/>
  <c r="Y48" i="2"/>
  <c r="AB6" i="4"/>
  <c r="AB31" i="4" s="1"/>
  <c r="AB22" i="2"/>
  <c r="Z23" i="2"/>
  <c r="AA43" i="4"/>
  <c r="AA12" i="4"/>
  <c r="AA15" i="4"/>
  <c r="AA40" i="4"/>
  <c r="AA7" i="4"/>
  <c r="AA11" i="4"/>
  <c r="AA46" i="4"/>
  <c r="AA28" i="4"/>
  <c r="AA10" i="4"/>
  <c r="AA24" i="2"/>
  <c r="AA13" i="2"/>
  <c r="AA23" i="2" s="1"/>
  <c r="AB40" i="4" l="1"/>
  <c r="AB15" i="4"/>
  <c r="AB10" i="4"/>
  <c r="AB12" i="4"/>
  <c r="AB43" i="4"/>
  <c r="AB28" i="4"/>
  <c r="AB46" i="4"/>
  <c r="AB11" i="4"/>
  <c r="AB7" i="4"/>
  <c r="AA9" i="4"/>
  <c r="AE35" i="4"/>
  <c r="AD30" i="4"/>
  <c r="AA27" i="2"/>
  <c r="AA19" i="2"/>
  <c r="AA38" i="2"/>
  <c r="AA15" i="2"/>
  <c r="AA31" i="2"/>
  <c r="AA35" i="2"/>
  <c r="Y45" i="2"/>
  <c r="Y47" i="2"/>
  <c r="Y54" i="2" s="1"/>
  <c r="Y59" i="2" s="1"/>
  <c r="T17" i="6" s="1"/>
  <c r="T36" i="6" s="1"/>
  <c r="T37" i="6" s="1"/>
  <c r="AC6" i="4"/>
  <c r="AC22" i="2"/>
  <c r="AB13" i="2"/>
  <c r="AB23" i="2" s="1"/>
  <c r="AB24" i="2"/>
  <c r="Z48" i="2"/>
  <c r="Z42" i="2"/>
  <c r="AB9" i="4" l="1"/>
  <c r="AC24" i="2"/>
  <c r="AC13" i="2"/>
  <c r="AC23" i="2" s="1"/>
  <c r="AC43" i="4"/>
  <c r="AC10" i="4"/>
  <c r="AC11" i="4"/>
  <c r="AC12" i="4"/>
  <c r="AC28" i="4"/>
  <c r="AC40" i="4"/>
  <c r="AC46" i="4"/>
  <c r="AC7" i="4"/>
  <c r="AC15" i="4"/>
  <c r="AA48" i="2"/>
  <c r="AA42" i="2"/>
  <c r="AC31" i="4"/>
  <c r="Z45" i="2"/>
  <c r="Z47" i="2" s="1"/>
  <c r="Z54" i="2" s="1"/>
  <c r="Z59" i="2" s="1"/>
  <c r="U17" i="6" s="1"/>
  <c r="U36" i="6" s="1"/>
  <c r="U37" i="6" s="1"/>
  <c r="AD6" i="4"/>
  <c r="AD22" i="2"/>
  <c r="AF35" i="4"/>
  <c r="AE30" i="4"/>
  <c r="AB31" i="2"/>
  <c r="AB35" i="2"/>
  <c r="AB19" i="2"/>
  <c r="AB27" i="2"/>
  <c r="AB15" i="2"/>
  <c r="AB38" i="2"/>
  <c r="AC9" i="4" l="1"/>
  <c r="AA45" i="2"/>
  <c r="AA47" i="2"/>
  <c r="AA54" i="2" s="1"/>
  <c r="AA59" i="2" s="1"/>
  <c r="V17" i="6" s="1"/>
  <c r="V36" i="6" s="1"/>
  <c r="V37" i="6" s="1"/>
  <c r="AD24" i="2"/>
  <c r="AD13" i="2"/>
  <c r="AD23" i="2" s="1"/>
  <c r="AE6" i="4"/>
  <c r="AE31" i="4" s="1"/>
  <c r="AE22" i="2"/>
  <c r="AD12" i="4"/>
  <c r="AD10" i="4"/>
  <c r="AD28" i="4"/>
  <c r="AD46" i="4"/>
  <c r="AD11" i="4"/>
  <c r="AD7" i="4"/>
  <c r="AD15" i="4"/>
  <c r="AD40" i="4"/>
  <c r="AD43" i="4"/>
  <c r="AD31" i="4"/>
  <c r="AB48" i="2"/>
  <c r="AB42" i="2"/>
  <c r="AF30" i="4"/>
  <c r="AG35" i="4"/>
  <c r="AC35" i="2"/>
  <c r="AC27" i="2"/>
  <c r="AC19" i="2"/>
  <c r="AC15" i="2"/>
  <c r="AC31" i="2"/>
  <c r="AC38" i="2"/>
  <c r="AG30" i="4" l="1"/>
  <c r="AH35" i="4"/>
  <c r="AB45" i="2"/>
  <c r="AB47" i="2" s="1"/>
  <c r="AB54" i="2" s="1"/>
  <c r="AB59" i="2" s="1"/>
  <c r="W17" i="6" s="1"/>
  <c r="W36" i="6" s="1"/>
  <c r="W37" i="6" s="1"/>
  <c r="AD27" i="2"/>
  <c r="AD31" i="2"/>
  <c r="AD19" i="2"/>
  <c r="AD35" i="2"/>
  <c r="AD15" i="2"/>
  <c r="AD38" i="2"/>
  <c r="AF6" i="4"/>
  <c r="AF31" i="4" s="1"/>
  <c r="AF22" i="2"/>
  <c r="AC48" i="2"/>
  <c r="AC42" i="2"/>
  <c r="AD9" i="4"/>
  <c r="AE24" i="2"/>
  <c r="AE13" i="2"/>
  <c r="AE12" i="4"/>
  <c r="AE43" i="4"/>
  <c r="AE15" i="4"/>
  <c r="AE28" i="4"/>
  <c r="AE40" i="4"/>
  <c r="AE46" i="4"/>
  <c r="AE7" i="4"/>
  <c r="AE11" i="4"/>
  <c r="AE10" i="4"/>
  <c r="AF24" i="2" l="1"/>
  <c r="AF13" i="2"/>
  <c r="AF23" i="2" s="1"/>
  <c r="AF15" i="4"/>
  <c r="AF7" i="4"/>
  <c r="AF10" i="4"/>
  <c r="AF43" i="4"/>
  <c r="AF12" i="4"/>
  <c r="AF46" i="4"/>
  <c r="AF40" i="4"/>
  <c r="AF11" i="4"/>
  <c r="AF28" i="4"/>
  <c r="AD48" i="2"/>
  <c r="AD42" i="2"/>
  <c r="AH30" i="4"/>
  <c r="AI35" i="4"/>
  <c r="AG22" i="2"/>
  <c r="AG6" i="4"/>
  <c r="AC45" i="2"/>
  <c r="AC47" i="2"/>
  <c r="AC54" i="2" s="1"/>
  <c r="AC59" i="2" s="1"/>
  <c r="X17" i="6" s="1"/>
  <c r="X36" i="6" s="1"/>
  <c r="X37" i="6" s="1"/>
  <c r="AE9" i="4"/>
  <c r="AE35" i="2"/>
  <c r="AE27" i="2"/>
  <c r="AE31" i="2"/>
  <c r="AE15" i="2"/>
  <c r="AE19" i="2"/>
  <c r="AE38" i="2"/>
  <c r="AE23" i="2"/>
  <c r="AF9" i="4" l="1"/>
  <c r="AH6" i="4"/>
  <c r="AH31" i="4"/>
  <c r="AH22" i="2"/>
  <c r="AD45" i="2"/>
  <c r="AD47" i="2"/>
  <c r="AD54" i="2" s="1"/>
  <c r="AD59" i="2" s="1"/>
  <c r="Y17" i="6" s="1"/>
  <c r="Y36" i="6" s="1"/>
  <c r="Y37" i="6" s="1"/>
  <c r="AG43" i="4"/>
  <c r="AG46" i="4"/>
  <c r="AG12" i="4"/>
  <c r="AG7" i="4"/>
  <c r="AG15" i="4"/>
  <c r="AG11" i="4"/>
  <c r="AG28" i="4"/>
  <c r="AG40" i="4"/>
  <c r="AG10" i="4"/>
  <c r="AG9" i="4" s="1"/>
  <c r="AE48" i="2"/>
  <c r="AE42" i="2"/>
  <c r="AG24" i="2"/>
  <c r="AG13" i="2"/>
  <c r="AG23" i="2" s="1"/>
  <c r="AG31" i="4"/>
  <c r="AF15" i="2"/>
  <c r="AF35" i="2"/>
  <c r="AF31" i="2"/>
  <c r="AF19" i="2"/>
  <c r="AF27" i="2"/>
  <c r="AF38" i="2"/>
  <c r="AI30" i="4"/>
  <c r="AJ35" i="4"/>
  <c r="AI6" i="4" l="1"/>
  <c r="AI22" i="2"/>
  <c r="AH24" i="2"/>
  <c r="AH13" i="2"/>
  <c r="AF48" i="2"/>
  <c r="AF42" i="2"/>
  <c r="AK35" i="4"/>
  <c r="AJ30" i="4"/>
  <c r="AH28" i="4"/>
  <c r="AH43" i="4"/>
  <c r="AH7" i="4"/>
  <c r="AH46" i="4"/>
  <c r="AH15" i="4"/>
  <c r="AH10" i="4"/>
  <c r="AH11" i="4"/>
  <c r="AH40" i="4"/>
  <c r="AH12" i="4"/>
  <c r="AG15" i="2"/>
  <c r="AG19" i="2"/>
  <c r="AG35" i="2"/>
  <c r="AG31" i="2"/>
  <c r="AG27" i="2"/>
  <c r="AG38" i="2"/>
  <c r="AE45" i="2"/>
  <c r="AE47" i="2" s="1"/>
  <c r="AE54" i="2" s="1"/>
  <c r="AE59" i="2" s="1"/>
  <c r="Z17" i="6" s="1"/>
  <c r="Z36" i="6" s="1"/>
  <c r="Z37" i="6" s="1"/>
  <c r="AI24" i="2" l="1"/>
  <c r="AI13" i="2"/>
  <c r="AI28" i="4"/>
  <c r="AI7" i="4"/>
  <c r="AI40" i="4"/>
  <c r="AI11" i="4"/>
  <c r="AI46" i="4"/>
  <c r="AI12" i="4"/>
  <c r="AI43" i="4"/>
  <c r="AI15" i="4"/>
  <c r="AI10" i="4"/>
  <c r="AH19" i="2"/>
  <c r="AH27" i="2"/>
  <c r="AH15" i="2"/>
  <c r="AH31" i="2"/>
  <c r="AH35" i="2"/>
  <c r="AH38" i="2"/>
  <c r="AH23" i="2"/>
  <c r="AJ22" i="2"/>
  <c r="AJ6" i="4"/>
  <c r="AG48" i="2"/>
  <c r="AG42" i="2"/>
  <c r="AK30" i="4"/>
  <c r="AL35" i="4"/>
  <c r="AI31" i="4"/>
  <c r="AH9" i="4"/>
  <c r="AF45" i="2"/>
  <c r="AF47" i="2"/>
  <c r="AF54" i="2" s="1"/>
  <c r="AF59" i="2" s="1"/>
  <c r="AA17" i="6" s="1"/>
  <c r="AA36" i="6" s="1"/>
  <c r="AA37" i="6" s="1"/>
  <c r="AI9" i="4" l="1"/>
  <c r="AJ28" i="4"/>
  <c r="AJ7" i="4"/>
  <c r="AJ11" i="4"/>
  <c r="AJ10" i="4"/>
  <c r="AJ9" i="4" s="1"/>
  <c r="AJ15" i="4"/>
  <c r="AJ40" i="4"/>
  <c r="AJ46" i="4"/>
  <c r="AJ12" i="4"/>
  <c r="AJ43" i="4"/>
  <c r="AI15" i="2"/>
  <c r="AI35" i="2"/>
  <c r="AI31" i="2"/>
  <c r="AI27" i="2"/>
  <c r="AI19" i="2"/>
  <c r="AI38" i="2"/>
  <c r="AJ31" i="4"/>
  <c r="AJ24" i="2"/>
  <c r="AJ13" i="2"/>
  <c r="AH48" i="2"/>
  <c r="AH42" i="2"/>
  <c r="AI23" i="2"/>
  <c r="AM35" i="4"/>
  <c r="AL30" i="4"/>
  <c r="AK22" i="2"/>
  <c r="AK6" i="4"/>
  <c r="AG45" i="2"/>
  <c r="AG47" i="2" s="1"/>
  <c r="AG54" i="2" s="1"/>
  <c r="AG59" i="2" s="1"/>
  <c r="AB17" i="6" s="1"/>
  <c r="AB36" i="6" s="1"/>
  <c r="AB37" i="6" s="1"/>
  <c r="AM30" i="4" l="1"/>
  <c r="AN35" i="4"/>
  <c r="AN30" i="4" s="1"/>
  <c r="AK46" i="4"/>
  <c r="AK43" i="4"/>
  <c r="AK7" i="4"/>
  <c r="AK12" i="4"/>
  <c r="AK28" i="4"/>
  <c r="AK11" i="4"/>
  <c r="AK15" i="4"/>
  <c r="AK40" i="4"/>
  <c r="AK10" i="4"/>
  <c r="AI48" i="2"/>
  <c r="AI42" i="2"/>
  <c r="AH45" i="2"/>
  <c r="AH47" i="2"/>
  <c r="AH54" i="2" s="1"/>
  <c r="AH59" i="2" s="1"/>
  <c r="AC17" i="6" s="1"/>
  <c r="AC36" i="6" s="1"/>
  <c r="AC37" i="6" s="1"/>
  <c r="AJ35" i="2"/>
  <c r="AJ31" i="2"/>
  <c r="AJ27" i="2"/>
  <c r="AJ15" i="2"/>
  <c r="AJ19" i="2"/>
  <c r="AJ38" i="2"/>
  <c r="AJ23" i="2"/>
  <c r="AK31" i="4"/>
  <c r="AK24" i="2"/>
  <c r="AK13" i="2"/>
  <c r="AL6" i="4"/>
  <c r="AL31" i="4"/>
  <c r="AL22" i="2"/>
  <c r="AL13" i="2" l="1"/>
  <c r="AL23" i="2" s="1"/>
  <c r="AL24" i="2"/>
  <c r="AI45" i="2"/>
  <c r="AI47" i="2"/>
  <c r="AI54" i="2" s="1"/>
  <c r="AI59" i="2" s="1"/>
  <c r="AD17" i="6" s="1"/>
  <c r="AD36" i="6" s="1"/>
  <c r="AD37" i="6" s="1"/>
  <c r="AJ48" i="2"/>
  <c r="AJ42" i="2"/>
  <c r="AN22" i="2"/>
  <c r="AN6" i="4"/>
  <c r="AL7" i="4"/>
  <c r="AL12" i="4"/>
  <c r="AL46" i="4"/>
  <c r="AL15" i="4"/>
  <c r="AL43" i="4"/>
  <c r="AL11" i="4"/>
  <c r="AL28" i="4"/>
  <c r="AL40" i="4"/>
  <c r="AL10" i="4"/>
  <c r="AK35" i="2"/>
  <c r="AK27" i="2"/>
  <c r="AK31" i="2"/>
  <c r="AK15" i="2"/>
  <c r="AK19" i="2"/>
  <c r="AK38" i="2"/>
  <c r="AM6" i="4"/>
  <c r="AM31" i="4" s="1"/>
  <c r="AM22" i="2"/>
  <c r="AK9" i="4"/>
  <c r="AK23" i="2"/>
  <c r="AL9" i="4" l="1"/>
  <c r="AM24" i="2"/>
  <c r="AM13" i="2"/>
  <c r="AJ45" i="2"/>
  <c r="AJ47" i="2" s="1"/>
  <c r="AJ54" i="2" s="1"/>
  <c r="AJ59" i="2" s="1"/>
  <c r="AE17" i="6" s="1"/>
  <c r="AE36" i="6" s="1"/>
  <c r="AE37" i="6" s="1"/>
  <c r="AN28" i="4"/>
  <c r="AN46" i="4"/>
  <c r="AN12" i="4"/>
  <c r="AN40" i="4"/>
  <c r="AN7" i="4"/>
  <c r="AN15" i="4"/>
  <c r="AN43" i="4"/>
  <c r="AN11" i="4"/>
  <c r="AN10" i="4"/>
  <c r="AM7" i="4"/>
  <c r="AM28" i="4"/>
  <c r="AM40" i="4"/>
  <c r="AM11" i="4"/>
  <c r="AM43" i="4"/>
  <c r="AM15" i="4"/>
  <c r="AM46" i="4"/>
  <c r="AM12" i="4"/>
  <c r="AM10" i="4"/>
  <c r="AM9" i="4" s="1"/>
  <c r="AN24" i="2"/>
  <c r="AN13" i="2"/>
  <c r="AL27" i="2"/>
  <c r="AL35" i="2"/>
  <c r="AL31" i="2"/>
  <c r="AL15" i="2"/>
  <c r="AL19" i="2"/>
  <c r="AL38" i="2"/>
  <c r="AK48" i="2"/>
  <c r="AK42" i="2"/>
  <c r="AN31" i="4"/>
  <c r="AN9" i="4" l="1"/>
  <c r="AM31" i="2"/>
  <c r="AM27" i="2"/>
  <c r="AM15" i="2"/>
  <c r="AM19" i="2"/>
  <c r="AM35" i="2"/>
  <c r="AM38" i="2"/>
  <c r="AM23" i="2"/>
  <c r="AK45" i="2"/>
  <c r="AK47" i="2" s="1"/>
  <c r="AK54" i="2" s="1"/>
  <c r="AK59" i="2" s="1"/>
  <c r="AF17" i="6" s="1"/>
  <c r="AF36" i="6" s="1"/>
  <c r="AF37" i="6" s="1"/>
  <c r="AN15" i="2"/>
  <c r="AN35" i="2"/>
  <c r="AN27" i="2"/>
  <c r="AN31" i="2"/>
  <c r="AN19" i="2"/>
  <c r="AN38" i="2"/>
  <c r="AL48" i="2"/>
  <c r="AL42" i="2"/>
  <c r="AN23" i="2"/>
  <c r="AM48" i="2" l="1"/>
  <c r="AM42" i="2"/>
  <c r="AN42" i="2"/>
  <c r="AN48" i="2"/>
  <c r="AL45" i="2"/>
  <c r="AL47" i="2" s="1"/>
  <c r="AL54" i="2" s="1"/>
  <c r="AL59" i="2" s="1"/>
  <c r="AG17" i="6" s="1"/>
  <c r="AG36" i="6" s="1"/>
  <c r="AG37" i="6" s="1"/>
  <c r="AN45" i="2" l="1"/>
  <c r="AN47" i="2"/>
  <c r="AN54" i="2" s="1"/>
  <c r="AN59" i="2" s="1"/>
  <c r="AI17" i="6" s="1"/>
  <c r="AI36" i="6" s="1"/>
  <c r="AM45" i="2"/>
  <c r="AM47" i="2" s="1"/>
  <c r="AM54" i="2" s="1"/>
  <c r="AM59" i="2" s="1"/>
  <c r="AH17" i="6" s="1"/>
  <c r="AH36" i="6" s="1"/>
  <c r="AH37" i="6" s="1"/>
  <c r="AI37" i="6" l="1"/>
</calcChain>
</file>

<file path=xl/sharedStrings.xml><?xml version="1.0" encoding="utf-8"?>
<sst xmlns="http://schemas.openxmlformats.org/spreadsheetml/2006/main" count="480" uniqueCount="159">
  <si>
    <t>Alternatíva 1: zachovanie status quo</t>
  </si>
  <si>
    <r>
      <t xml:space="preserve">PREVÁDZKOVÉ VÝNOSY </t>
    </r>
    <r>
      <rPr>
        <sz val="11"/>
        <color theme="1"/>
        <rFont val="Arial Narrow"/>
        <family val="2"/>
        <charset val="238"/>
      </rPr>
      <t>/bez finančných výnosov</t>
    </r>
    <r>
      <rPr>
        <b/>
        <sz val="11"/>
        <color theme="1"/>
        <rFont val="Arial Narrow"/>
        <family val="2"/>
        <charset val="238"/>
      </rPr>
      <t>/</t>
    </r>
  </si>
  <si>
    <t>výnosy - rast v %</t>
  </si>
  <si>
    <t xml:space="preserve"> n/a</t>
  </si>
  <si>
    <t>Úhrady ZP</t>
  </si>
  <si>
    <t>Úhrady - iné služby</t>
  </si>
  <si>
    <t>Predaj tovaru</t>
  </si>
  <si>
    <t>Ostatné výnosy</t>
  </si>
  <si>
    <r>
      <t xml:space="preserve">NÁKLADY </t>
    </r>
    <r>
      <rPr>
        <sz val="11"/>
        <color theme="1"/>
        <rFont val="Arial Narrow"/>
        <family val="2"/>
        <charset val="238"/>
      </rPr>
      <t>/bez nepeňažných nákladov/</t>
    </r>
  </si>
  <si>
    <t>Spotreba materiálu</t>
  </si>
  <si>
    <t>spotreba materiálu v % z celkových nákladov</t>
  </si>
  <si>
    <t xml:space="preserve">   - Pohonné látky</t>
  </si>
  <si>
    <t xml:space="preserve">   - Lieky</t>
  </si>
  <si>
    <t xml:space="preserve">   - Krv</t>
  </si>
  <si>
    <t xml:space="preserve">   - ŠZM (špeciálny zdravotnícky materiál)</t>
  </si>
  <si>
    <t xml:space="preserve">   - Potraviny</t>
  </si>
  <si>
    <t xml:space="preserve">   - Všeobecný materiál</t>
  </si>
  <si>
    <t xml:space="preserve">   - Medicinálne plyny</t>
  </si>
  <si>
    <t xml:space="preserve">   - Materiál na údržbu</t>
  </si>
  <si>
    <t xml:space="preserve">   - Drobný hmotný majetok</t>
  </si>
  <si>
    <t>Spotreba energie</t>
  </si>
  <si>
    <t>spotreba energie v % z celkových nákladov</t>
  </si>
  <si>
    <t>Personálne náklady</t>
  </si>
  <si>
    <t>personálne náklady v % z celkových nákladov</t>
  </si>
  <si>
    <t>Mzdové náklady</t>
  </si>
  <si>
    <t>Zákonné sociálne poistenie</t>
  </si>
  <si>
    <t>Ostatné sociálne poistenie</t>
  </si>
  <si>
    <t>Zákonné sociálne náklady</t>
  </si>
  <si>
    <t>Ostatné sociálne náklady</t>
  </si>
  <si>
    <t>Opravy a údržba</t>
  </si>
  <si>
    <t>opravy a údržba v % z celkových nákladov</t>
  </si>
  <si>
    <t>Predaný tovar</t>
  </si>
  <si>
    <t>predaný tovar v ˇz celkových nákladov</t>
  </si>
  <si>
    <t>Ostatné peňažné náklady</t>
  </si>
  <si>
    <t>ostatné peňažné náklady v % z celkových nákladov</t>
  </si>
  <si>
    <t xml:space="preserve">Cestovné </t>
  </si>
  <si>
    <t>Náklady na reprezentáciu</t>
  </si>
  <si>
    <t>Ostatné služby</t>
  </si>
  <si>
    <t>Daň z motorových vozidiel</t>
  </si>
  <si>
    <t>Daň z nehnuteľnosti</t>
  </si>
  <si>
    <t>Ostatné dane a poplatky</t>
  </si>
  <si>
    <t>Zmluvné pokuty a penále</t>
  </si>
  <si>
    <t>Ostatné pokuty a penále</t>
  </si>
  <si>
    <t>Odpísanie pohľadávky</t>
  </si>
  <si>
    <t>Úroky</t>
  </si>
  <si>
    <t>Kurzové straty</t>
  </si>
  <si>
    <t>Dary</t>
  </si>
  <si>
    <t>Osobitné náklady</t>
  </si>
  <si>
    <t>Manká a škody</t>
  </si>
  <si>
    <t>Iné ostatné náklady</t>
  </si>
  <si>
    <t>EBITDA</t>
  </si>
  <si>
    <t>odpisy</t>
  </si>
  <si>
    <t>EBIT</t>
  </si>
  <si>
    <t>Finančné výnosy</t>
  </si>
  <si>
    <t>Daň z príjmu</t>
  </si>
  <si>
    <t>Hospodársky výsledok</t>
  </si>
  <si>
    <t xml:space="preserve">EBITDA marža </t>
  </si>
  <si>
    <t>Odpisy</t>
  </si>
  <si>
    <t xml:space="preserve">Kapitálové výdavky </t>
  </si>
  <si>
    <t>Zmena pracovného kapitálu</t>
  </si>
  <si>
    <t>FCFF</t>
  </si>
  <si>
    <t>nákladové úroky</t>
  </si>
  <si>
    <t>splátky úverov</t>
  </si>
  <si>
    <t>FCFE</t>
  </si>
  <si>
    <t>spotreba materiálu- rast v %</t>
  </si>
  <si>
    <t>spotreba energie- rast v %</t>
  </si>
  <si>
    <t>personálne náklady - rast v %</t>
  </si>
  <si>
    <t>opravy a údržba - rast v %</t>
  </si>
  <si>
    <t>predaný tovar v %z celkových nákladov</t>
  </si>
  <si>
    <t>predaný tovar - rast v %</t>
  </si>
  <si>
    <t>ostatné peňažné náklady - rast v %</t>
  </si>
  <si>
    <t>EBITDA marža</t>
  </si>
  <si>
    <t>FINANČNÝ MODEL PREVÁDZKY A HOSPODÁRENIA</t>
  </si>
  <si>
    <t>ŠTÚDIA USKUTOČNITEĽNOSTI</t>
  </si>
  <si>
    <t xml:space="preserve">Vstupné údaje: </t>
  </si>
  <si>
    <t>Výška investície</t>
  </si>
  <si>
    <t>bez DPH</t>
  </si>
  <si>
    <t xml:space="preserve">        z toho PO (D)</t>
  </si>
  <si>
    <t xml:space="preserve">        z toho VZ</t>
  </si>
  <si>
    <t>Diskontná sadzba</t>
  </si>
  <si>
    <t xml:space="preserve">FCFE </t>
  </si>
  <si>
    <r>
      <t xml:space="preserve">Capex náklady - </t>
    </r>
    <r>
      <rPr>
        <i/>
        <sz val="11"/>
        <color theme="1"/>
        <rFont val="Arial Narrow"/>
        <family val="2"/>
        <charset val="238"/>
      </rPr>
      <t>priebežné investíce mimo projekt (VZ)</t>
    </r>
  </si>
  <si>
    <r>
      <t xml:space="preserve">Capex náklady - </t>
    </r>
    <r>
      <rPr>
        <i/>
        <sz val="11"/>
        <color theme="1"/>
        <rFont val="Arial Narrow"/>
        <family val="2"/>
        <charset val="238"/>
      </rPr>
      <t>projekt (VZ</t>
    </r>
    <r>
      <rPr>
        <sz val="11"/>
        <color theme="1"/>
        <rFont val="Arial Narrow"/>
        <family val="2"/>
        <charset val="238"/>
      </rPr>
      <t>)</t>
    </r>
  </si>
  <si>
    <t xml:space="preserve">            Capex náklady- projekt - BLDG - VZ</t>
  </si>
  <si>
    <t xml:space="preserve">            Capex náklady - projekt - DHM - VZ</t>
  </si>
  <si>
    <r>
      <t xml:space="preserve">Capex náklady </t>
    </r>
    <r>
      <rPr>
        <i/>
        <sz val="11"/>
        <color theme="1"/>
        <rFont val="Arial Narrow"/>
        <family val="2"/>
        <charset val="238"/>
      </rPr>
      <t>- projekt (D)</t>
    </r>
  </si>
  <si>
    <t xml:space="preserve">            Capex náklady - projekt - BLDG - D</t>
  </si>
  <si>
    <t xml:space="preserve">            Capex náklady - projekt - DHM - D</t>
  </si>
  <si>
    <t>Predaj majetku</t>
  </si>
  <si>
    <t>Dlhová služba</t>
  </si>
  <si>
    <t>Čerpanie</t>
  </si>
  <si>
    <t>Splátka - úrok</t>
  </si>
  <si>
    <t>Splátka - istina</t>
  </si>
  <si>
    <t>Projektový CF</t>
  </si>
  <si>
    <t xml:space="preserve">Projektový CF - kumulatívny </t>
  </si>
  <si>
    <t>FNPV ©</t>
  </si>
  <si>
    <t>FNPV (K)</t>
  </si>
  <si>
    <t xml:space="preserve">Capex náklady - projekt celkom </t>
  </si>
  <si>
    <r>
      <t xml:space="preserve">            Capex náklady - </t>
    </r>
    <r>
      <rPr>
        <i/>
        <sz val="11"/>
        <color theme="1"/>
        <rFont val="Arial Narrow"/>
        <family val="2"/>
        <charset val="238"/>
      </rPr>
      <t>projekt (VZ</t>
    </r>
    <r>
      <rPr>
        <sz val="11"/>
        <color theme="1"/>
        <rFont val="Arial Narrow"/>
        <family val="2"/>
        <charset val="238"/>
      </rPr>
      <t>)</t>
    </r>
  </si>
  <si>
    <r>
      <t xml:space="preserve">            Capex náklady </t>
    </r>
    <r>
      <rPr>
        <i/>
        <sz val="11"/>
        <color theme="1"/>
        <rFont val="Arial Narrow"/>
        <family val="2"/>
        <charset val="238"/>
      </rPr>
      <t>- projekt (D)</t>
    </r>
  </si>
  <si>
    <t>stavby</t>
  </si>
  <si>
    <t>s DPH</t>
  </si>
  <si>
    <t>1 rok odpis</t>
  </si>
  <si>
    <t>protipožiarné dvere</t>
  </si>
  <si>
    <t>od roku 2026</t>
  </si>
  <si>
    <t>kotolňa</t>
  </si>
  <si>
    <t>od roku 2024</t>
  </si>
  <si>
    <t>telefóny(rek.obvodov)</t>
  </si>
  <si>
    <t>stúpačky (12 ks za  rok)</t>
  </si>
  <si>
    <t>12 ks</t>
  </si>
  <si>
    <t>od roku 2023</t>
  </si>
  <si>
    <t>Spolu odpisy za rok</t>
  </si>
  <si>
    <t>Predmet investície</t>
  </si>
  <si>
    <t>ks</t>
  </si>
  <si>
    <t>ročne</t>
  </si>
  <si>
    <t xml:space="preserve">Cena </t>
  </si>
  <si>
    <t>Cena</t>
  </si>
  <si>
    <t xml:space="preserve"> celkom</t>
  </si>
  <si>
    <t>2026 - 2050</t>
  </si>
  <si>
    <t>Cena / ks</t>
  </si>
  <si>
    <t>* stúpačky - 48 stúpačiek celkom, výmena 12 ks stúpačiek/rok v rokoch 2023-2026</t>
  </si>
  <si>
    <t xml:space="preserve">investícia PO + vlastné zdroje </t>
  </si>
  <si>
    <t>zdravotechnika</t>
  </si>
  <si>
    <t>nábytok</t>
  </si>
  <si>
    <t>Investícia</t>
  </si>
  <si>
    <t>Stavby - lineárny odpis 40 rokov</t>
  </si>
  <si>
    <t>Lineárne odpisovanie</t>
  </si>
  <si>
    <t>doba odpisu</t>
  </si>
  <si>
    <t>ročný odpis</t>
  </si>
  <si>
    <t xml:space="preserve">začiatok </t>
  </si>
  <si>
    <t>07/2025</t>
  </si>
  <si>
    <t xml:space="preserve">1. fáza </t>
  </si>
  <si>
    <t xml:space="preserve">2. fáza </t>
  </si>
  <si>
    <t>01/2027</t>
  </si>
  <si>
    <t>2037 -2050</t>
  </si>
  <si>
    <t>Projektová dokumentácia(VZ)</t>
  </si>
  <si>
    <t>FNPV (C)</t>
  </si>
  <si>
    <t>Doba návratnosti</t>
  </si>
  <si>
    <t>Alternatíva 2: Base Case</t>
  </si>
  <si>
    <t>Alternatíva 3: rekonštrukcia</t>
  </si>
  <si>
    <t>CF</t>
  </si>
  <si>
    <t xml:space="preserve">CF - kumulatívny </t>
  </si>
  <si>
    <t>n/a</t>
  </si>
  <si>
    <t>Alternatíva 3: rekoštrukcia</t>
  </si>
  <si>
    <t>FCFE projekt</t>
  </si>
  <si>
    <t xml:space="preserve">FCFE projekt </t>
  </si>
  <si>
    <t>Alternatíva 1: status quo</t>
  </si>
  <si>
    <t xml:space="preserve">* model z hľadiska investícii do rozvoja nemocnice predpokladá mimo bežných nákladov na údržbu a opravu aj náklady vyžadujúce pomerne rozsiahlu investíciu, preto tieto náklady uvádzame ako samostatnú investíciu. Vychádzame z predpokladu, že tieto náklady budú vynaložené z vlastných zdrojov. </t>
  </si>
  <si>
    <t xml:space="preserve">Alternatíva 1: zachovanie status quo  </t>
  </si>
  <si>
    <t xml:space="preserve">Alternatíva 2: Base Case  </t>
  </si>
  <si>
    <r>
      <rPr>
        <b/>
        <sz val="16"/>
        <color theme="1"/>
        <rFont val="Calibri"/>
        <family val="2"/>
        <charset val="238"/>
      </rPr>
      <t>&gt;</t>
    </r>
    <r>
      <rPr>
        <b/>
        <sz val="16"/>
        <color theme="1"/>
        <rFont val="Arial Narrow"/>
        <family val="2"/>
        <charset val="238"/>
      </rPr>
      <t>25</t>
    </r>
  </si>
  <si>
    <t>&gt;25</t>
  </si>
  <si>
    <t>medziročná zmena v %</t>
  </si>
  <si>
    <t>Náklady (kapacitný model)</t>
  </si>
  <si>
    <t>celkom</t>
  </si>
  <si>
    <t>1 ÚZS</t>
  </si>
  <si>
    <t>1 JZS</t>
  </si>
  <si>
    <t>iná ZS</t>
  </si>
  <si>
    <t>Poprad, február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</si>
</sst>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#,##0.00\ &quot;€&quot;;[Red]\-#,##0.00\ &quot;€&quot;"/>
    <numFmt numFmtId="43" formatCode="_-* #,##0.00\ _€_-;\-* #,##0.00\ _€_-;_-* &quot;-&quot;??\ _€_-;_-@_-"/>
    <numFmt numFmtId="164" formatCode="#,##0;[Red]#,##0"/>
  </numFmts>
  <fonts count="4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6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4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sz val="11"/>
      <color theme="1"/>
      <name val="Calibri"/>
      <family val="2"/>
      <scheme val="minor"/>
    </font>
    <font>
      <i/>
      <sz val="10"/>
      <color theme="1" tint="0.499984740745262"/>
      <name val="Arial Narrow"/>
      <family val="2"/>
      <charset val="238"/>
    </font>
    <font>
      <sz val="10"/>
      <color theme="1" tint="0.499984740745262"/>
      <name val="Arial Narrow"/>
      <family val="2"/>
      <charset val="238"/>
    </font>
    <font>
      <i/>
      <sz val="9"/>
      <color theme="1" tint="0.499984740745262"/>
      <name val="Arial Narrow"/>
      <family val="2"/>
      <charset val="238"/>
    </font>
    <font>
      <sz val="11"/>
      <name val="Arial Narrow"/>
      <family val="2"/>
      <charset val="238"/>
    </font>
    <font>
      <sz val="10"/>
      <color theme="1"/>
      <name val="Arial Narrow"/>
      <family val="2"/>
      <charset val="238"/>
    </font>
    <font>
      <sz val="12"/>
      <color theme="1"/>
      <name val="Calibri"/>
      <family val="2"/>
      <scheme val="minor"/>
    </font>
    <font>
      <i/>
      <sz val="9"/>
      <color theme="1"/>
      <name val="Arial Narrow"/>
      <family val="2"/>
      <charset val="238"/>
    </font>
    <font>
      <i/>
      <sz val="10"/>
      <color theme="1"/>
      <name val="Arial Narrow"/>
      <family val="2"/>
      <charset val="238"/>
    </font>
    <font>
      <i/>
      <sz val="10"/>
      <name val="Arial Narrow"/>
      <family val="2"/>
      <charset val="238"/>
    </font>
    <font>
      <i/>
      <sz val="11"/>
      <color theme="1"/>
      <name val="Arial Narrow"/>
      <family val="2"/>
      <charset val="238"/>
    </font>
    <font>
      <i/>
      <sz val="9"/>
      <color indexed="8"/>
      <name val="Arial Narrow"/>
      <family val="2"/>
      <charset val="238"/>
    </font>
    <font>
      <i/>
      <sz val="11"/>
      <color theme="1" tint="0.499984740745262"/>
      <name val="Arial Narrow"/>
      <family val="2"/>
      <charset val="238"/>
    </font>
    <font>
      <sz val="10"/>
      <color theme="1"/>
      <name val="Calibri"/>
      <family val="2"/>
      <scheme val="minor"/>
    </font>
    <font>
      <b/>
      <sz val="10"/>
      <color theme="1"/>
      <name val="Arial Narrow"/>
      <family val="2"/>
      <charset val="238"/>
    </font>
    <font>
      <i/>
      <sz val="9"/>
      <name val="Arial Narrow"/>
      <family val="2"/>
      <charset val="238"/>
    </font>
    <font>
      <i/>
      <sz val="9"/>
      <color theme="2" tint="-0.499984740745262"/>
      <name val="Arial Narrow"/>
      <family val="2"/>
      <charset val="238"/>
    </font>
    <font>
      <i/>
      <sz val="10"/>
      <color theme="2" tint="-0.499984740745262"/>
      <name val="Arial Narrow"/>
      <family val="2"/>
      <charset val="238"/>
    </font>
    <font>
      <b/>
      <sz val="11"/>
      <name val="Arial Narrow"/>
      <family val="2"/>
      <charset val="238"/>
    </font>
    <font>
      <sz val="9"/>
      <color theme="1"/>
      <name val="Arial Narrow"/>
      <family val="2"/>
      <charset val="238"/>
    </font>
    <font>
      <sz val="14"/>
      <color theme="1"/>
      <name val="Arial Narrow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sz val="10"/>
      <color theme="1" tint="0.499984740745262"/>
      <name val="Calibri"/>
      <family val="2"/>
      <scheme val="minor"/>
    </font>
    <font>
      <i/>
      <sz val="10"/>
      <color theme="1" tint="0.499984740745262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sz val="14"/>
      <color rgb="FFFF0000"/>
      <name val="Arial Narrow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2" tint="-0.249977111117893"/>
      <name val="Arial Narrow"/>
      <family val="2"/>
      <charset val="238"/>
    </font>
    <font>
      <b/>
      <sz val="14"/>
      <name val="Arial Narrow"/>
      <family val="2"/>
      <charset val="238"/>
    </font>
    <font>
      <sz val="11"/>
      <name val="Calibri"/>
      <family val="2"/>
      <charset val="238"/>
      <scheme val="minor"/>
    </font>
    <font>
      <b/>
      <sz val="16"/>
      <color theme="1"/>
      <name val="Calibri"/>
      <family val="2"/>
      <charset val="238"/>
    </font>
    <font>
      <i/>
      <sz val="8"/>
      <color theme="1" tint="0.499984740745262"/>
      <name val="Arial Narrow"/>
      <family val="2"/>
      <charset val="238"/>
    </font>
    <font>
      <i/>
      <sz val="8"/>
      <color theme="1"/>
      <name val="Arial Narrow"/>
      <family val="2"/>
      <charset val="238"/>
    </font>
    <font>
      <sz val="9"/>
      <name val="Arial Narrow"/>
      <family val="2"/>
      <charset val="238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8"/>
      <name val="Arial Narrow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B0F5FE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slantDashDot">
        <color theme="4" tint="-0.499984740745262"/>
      </bottom>
      <diagonal/>
    </border>
    <border>
      <left/>
      <right/>
      <top/>
      <bottom style="double">
        <color theme="4" tint="-0.499984740745262"/>
      </bottom>
      <diagonal/>
    </border>
    <border>
      <left/>
      <right style="slantDashDot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12" fillId="0" borderId="0"/>
    <xf numFmtId="43" fontId="1" fillId="0" borderId="0" applyFont="0" applyFill="0" applyBorder="0" applyAlignment="0" applyProtection="0"/>
    <xf numFmtId="0" fontId="42" fillId="0" borderId="0"/>
  </cellStyleXfs>
  <cellXfs count="368">
    <xf numFmtId="0" fontId="0" fillId="0" borderId="0" xfId="0"/>
    <xf numFmtId="0" fontId="3" fillId="0" borderId="0" xfId="0" applyFont="1"/>
    <xf numFmtId="0" fontId="0" fillId="0" borderId="0" xfId="0" applyFill="1"/>
    <xf numFmtId="0" fontId="3" fillId="0" borderId="0" xfId="0" applyFont="1" applyFill="1"/>
    <xf numFmtId="0" fontId="3" fillId="2" borderId="0" xfId="0" applyFont="1" applyFill="1"/>
    <xf numFmtId="0" fontId="5" fillId="3" borderId="0" xfId="0" applyFont="1" applyFill="1"/>
    <xf numFmtId="0" fontId="5" fillId="3" borderId="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5" fillId="0" borderId="0" xfId="0" applyFont="1" applyFill="1"/>
    <xf numFmtId="0" fontId="3" fillId="4" borderId="0" xfId="0" applyFont="1" applyFill="1"/>
    <xf numFmtId="3" fontId="5" fillId="4" borderId="0" xfId="0" applyNumberFormat="1" applyFont="1" applyFill="1"/>
    <xf numFmtId="0" fontId="7" fillId="0" borderId="0" xfId="0" applyFont="1" applyFill="1" applyAlignment="1"/>
    <xf numFmtId="0" fontId="8" fillId="0" borderId="0" xfId="0" applyFont="1" applyFill="1" applyAlignment="1"/>
    <xf numFmtId="0" fontId="8" fillId="0" borderId="0" xfId="0" applyFont="1" applyFill="1"/>
    <xf numFmtId="3" fontId="7" fillId="0" borderId="0" xfId="0" applyNumberFormat="1" applyFont="1" applyFill="1" applyAlignment="1">
      <alignment horizontal="center"/>
    </xf>
    <xf numFmtId="10" fontId="7" fillId="0" borderId="0" xfId="0" applyNumberFormat="1" applyFont="1" applyFill="1"/>
    <xf numFmtId="10" fontId="9" fillId="0" borderId="0" xfId="0" applyNumberFormat="1" applyFont="1" applyFill="1"/>
    <xf numFmtId="3" fontId="3" fillId="0" borderId="0" xfId="0" applyNumberFormat="1" applyFont="1"/>
    <xf numFmtId="3" fontId="10" fillId="0" borderId="0" xfId="0" applyNumberFormat="1" applyFont="1"/>
    <xf numFmtId="0" fontId="7" fillId="0" borderId="0" xfId="0" applyFont="1"/>
    <xf numFmtId="0" fontId="11" fillId="0" borderId="0" xfId="0" applyFont="1"/>
    <xf numFmtId="10" fontId="7" fillId="0" borderId="0" xfId="0" applyNumberFormat="1" applyFont="1"/>
    <xf numFmtId="3" fontId="7" fillId="0" borderId="0" xfId="0" applyNumberFormat="1" applyFont="1"/>
    <xf numFmtId="0" fontId="13" fillId="0" borderId="0" xfId="2" applyFont="1" applyFill="1" applyBorder="1" applyProtection="1">
      <protection locked="0"/>
    </xf>
    <xf numFmtId="0" fontId="13" fillId="0" borderId="0" xfId="0" applyFont="1"/>
    <xf numFmtId="3" fontId="14" fillId="0" borderId="0" xfId="2" applyNumberFormat="1" applyFont="1" applyFill="1" applyBorder="1" applyAlignment="1" applyProtection="1">
      <alignment horizontal="right"/>
      <protection locked="0"/>
    </xf>
    <xf numFmtId="3" fontId="15" fillId="5" borderId="0" xfId="0" applyNumberFormat="1" applyFont="1" applyFill="1" applyBorder="1" applyAlignment="1">
      <alignment horizontal="right"/>
    </xf>
    <xf numFmtId="3" fontId="14" fillId="0" borderId="0" xfId="3" applyNumberFormat="1" applyFont="1" applyBorder="1" applyAlignment="1">
      <alignment horizontal="right" wrapText="1"/>
    </xf>
    <xf numFmtId="3" fontId="13" fillId="0" borderId="0" xfId="0" applyNumberFormat="1" applyFont="1"/>
    <xf numFmtId="3" fontId="15" fillId="0" borderId="0" xfId="0" applyNumberFormat="1" applyFont="1" applyFill="1" applyBorder="1" applyAlignment="1">
      <alignment horizontal="right"/>
    </xf>
    <xf numFmtId="1" fontId="14" fillId="0" borderId="0" xfId="2" applyNumberFormat="1" applyFont="1" applyFill="1" applyBorder="1" applyAlignment="1" applyProtection="1">
      <alignment horizontal="right"/>
      <protection locked="0"/>
    </xf>
    <xf numFmtId="1" fontId="15" fillId="0" borderId="0" xfId="0" applyNumberFormat="1" applyFont="1" applyFill="1" applyBorder="1" applyAlignment="1">
      <alignment horizontal="right"/>
    </xf>
    <xf numFmtId="1" fontId="14" fillId="0" borderId="0" xfId="3" applyNumberFormat="1" applyFont="1" applyBorder="1" applyAlignment="1">
      <alignment horizontal="right" wrapText="1"/>
    </xf>
    <xf numFmtId="0" fontId="17" fillId="0" borderId="0" xfId="2" applyFont="1" applyFill="1" applyBorder="1" applyProtection="1">
      <protection locked="0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3" fontId="3" fillId="0" borderId="0" xfId="2" applyNumberFormat="1" applyFont="1" applyBorder="1" applyAlignment="1">
      <alignment horizontal="right"/>
    </xf>
    <xf numFmtId="0" fontId="18" fillId="0" borderId="0" xfId="0" applyFont="1" applyAlignment="1">
      <alignment horizontal="left"/>
    </xf>
    <xf numFmtId="10" fontId="7" fillId="0" borderId="0" xfId="2" applyNumberFormat="1" applyFont="1" applyBorder="1" applyAlignment="1">
      <alignment horizontal="right"/>
    </xf>
    <xf numFmtId="3" fontId="3" fillId="0" borderId="0" xfId="0" applyNumberFormat="1" applyFont="1" applyFill="1"/>
    <xf numFmtId="3" fontId="13" fillId="0" borderId="0" xfId="0" applyNumberFormat="1" applyFont="1" applyBorder="1"/>
    <xf numFmtId="3" fontId="13" fillId="0" borderId="0" xfId="0" applyNumberFormat="1" applyFont="1" applyFill="1" applyBorder="1"/>
    <xf numFmtId="3" fontId="13" fillId="0" borderId="0" xfId="0" applyNumberFormat="1" applyFont="1" applyFill="1"/>
    <xf numFmtId="0" fontId="17" fillId="0" borderId="0" xfId="2" applyFont="1" applyFill="1" applyBorder="1" applyAlignment="1" applyProtection="1">
      <protection locked="0"/>
    </xf>
    <xf numFmtId="0" fontId="13" fillId="0" borderId="0" xfId="0" applyFont="1" applyBorder="1"/>
    <xf numFmtId="0" fontId="5" fillId="2" borderId="0" xfId="0" applyFont="1" applyFill="1" applyBorder="1"/>
    <xf numFmtId="0" fontId="3" fillId="2" borderId="0" xfId="0" applyFont="1" applyFill="1" applyBorder="1"/>
    <xf numFmtId="3" fontId="5" fillId="2" borderId="0" xfId="0" applyNumberFormat="1" applyFont="1" applyFill="1" applyBorder="1"/>
    <xf numFmtId="0" fontId="3" fillId="0" borderId="0" xfId="0" applyFont="1" applyFill="1" applyBorder="1"/>
    <xf numFmtId="0" fontId="5" fillId="0" borderId="0" xfId="0" applyFont="1"/>
    <xf numFmtId="3" fontId="3" fillId="0" borderId="0" xfId="0" applyNumberFormat="1" applyFont="1" applyFill="1" applyBorder="1"/>
    <xf numFmtId="10" fontId="16" fillId="0" borderId="0" xfId="1" applyNumberFormat="1" applyFont="1"/>
    <xf numFmtId="3" fontId="19" fillId="0" borderId="0" xfId="0" applyNumberFormat="1" applyFont="1"/>
    <xf numFmtId="0" fontId="19" fillId="0" borderId="0" xfId="0" applyNumberFormat="1" applyFont="1"/>
    <xf numFmtId="0" fontId="20" fillId="2" borderId="0" xfId="0" applyNumberFormat="1" applyFont="1" applyFill="1" applyBorder="1"/>
    <xf numFmtId="0" fontId="11" fillId="2" borderId="0" xfId="0" applyNumberFormat="1" applyFont="1" applyFill="1" applyBorder="1"/>
    <xf numFmtId="0" fontId="20" fillId="0" borderId="0" xfId="0" applyNumberFormat="1" applyFont="1" applyFill="1"/>
    <xf numFmtId="0" fontId="11" fillId="0" borderId="0" xfId="0" applyNumberFormat="1" applyFont="1" applyFill="1"/>
    <xf numFmtId="3" fontId="5" fillId="0" borderId="0" xfId="0" applyNumberFormat="1" applyFont="1" applyFill="1"/>
    <xf numFmtId="0" fontId="3" fillId="0" borderId="0" xfId="0" applyNumberFormat="1" applyFont="1" applyFill="1"/>
    <xf numFmtId="0" fontId="20" fillId="2" borderId="1" xfId="0" applyNumberFormat="1" applyFont="1" applyFill="1" applyBorder="1"/>
    <xf numFmtId="0" fontId="11" fillId="2" borderId="1" xfId="0" applyNumberFormat="1" applyFont="1" applyFill="1" applyBorder="1"/>
    <xf numFmtId="0" fontId="3" fillId="2" borderId="1" xfId="0" applyFont="1" applyFill="1" applyBorder="1"/>
    <xf numFmtId="3" fontId="5" fillId="2" borderId="1" xfId="0" applyNumberFormat="1" applyFont="1" applyFill="1" applyBorder="1"/>
    <xf numFmtId="0" fontId="3" fillId="0" borderId="1" xfId="0" applyFont="1" applyFill="1" applyBorder="1"/>
    <xf numFmtId="3" fontId="13" fillId="0" borderId="0" xfId="2" applyNumberFormat="1" applyFont="1" applyFill="1" applyBorder="1" applyAlignment="1" applyProtection="1">
      <alignment horizontal="right"/>
      <protection locked="0"/>
    </xf>
    <xf numFmtId="3" fontId="21" fillId="5" borderId="0" xfId="0" applyNumberFormat="1" applyFont="1" applyFill="1" applyBorder="1" applyAlignment="1">
      <alignment horizontal="right"/>
    </xf>
    <xf numFmtId="3" fontId="13" fillId="0" borderId="0" xfId="3" applyNumberFormat="1" applyFont="1" applyBorder="1" applyAlignment="1">
      <alignment horizontal="right" wrapText="1"/>
    </xf>
    <xf numFmtId="0" fontId="13" fillId="0" borderId="0" xfId="0" applyFont="1" applyFill="1"/>
    <xf numFmtId="3" fontId="21" fillId="0" borderId="0" xfId="0" applyNumberFormat="1" applyFont="1" applyFill="1" applyBorder="1" applyAlignment="1">
      <alignment horizontal="right"/>
    </xf>
    <xf numFmtId="0" fontId="13" fillId="0" borderId="0" xfId="0" applyFont="1" applyAlignment="1">
      <alignment horizontal="left"/>
    </xf>
    <xf numFmtId="0" fontId="3" fillId="0" borderId="2" xfId="0" applyFont="1" applyBorder="1"/>
    <xf numFmtId="3" fontId="3" fillId="0" borderId="2" xfId="0" applyNumberFormat="1" applyFont="1" applyBorder="1"/>
    <xf numFmtId="0" fontId="22" fillId="0" borderId="0" xfId="0" applyFont="1"/>
    <xf numFmtId="0" fontId="23" fillId="0" borderId="0" xfId="0" applyFont="1"/>
    <xf numFmtId="0" fontId="23" fillId="0" borderId="0" xfId="0" applyFont="1" applyAlignment="1">
      <alignment horizontal="left"/>
    </xf>
    <xf numFmtId="3" fontId="24" fillId="2" borderId="0" xfId="0" applyNumberFormat="1" applyFont="1" applyFill="1" applyBorder="1"/>
    <xf numFmtId="0" fontId="14" fillId="0" borderId="0" xfId="0" applyFont="1"/>
    <xf numFmtId="10" fontId="14" fillId="0" borderId="0" xfId="1" applyNumberFormat="1" applyFont="1"/>
    <xf numFmtId="0" fontId="11" fillId="0" borderId="0" xfId="0" applyFont="1" applyFill="1"/>
    <xf numFmtId="3" fontId="7" fillId="0" borderId="0" xfId="0" applyNumberFormat="1" applyFont="1" applyFill="1" applyAlignment="1">
      <alignment horizontal="right"/>
    </xf>
    <xf numFmtId="0" fontId="5" fillId="4" borderId="0" xfId="0" applyFont="1" applyFill="1" applyAlignment="1"/>
    <xf numFmtId="0" fontId="0" fillId="2" borderId="0" xfId="0" applyFill="1"/>
    <xf numFmtId="0" fontId="24" fillId="2" borderId="0" xfId="0" applyFont="1" applyFill="1" applyBorder="1"/>
    <xf numFmtId="0" fontId="10" fillId="2" borderId="0" xfId="0" applyFont="1" applyFill="1" applyBorder="1"/>
    <xf numFmtId="0" fontId="3" fillId="0" borderId="3" xfId="0" applyFont="1" applyBorder="1"/>
    <xf numFmtId="0" fontId="0" fillId="0" borderId="4" xfId="0" applyBorder="1"/>
    <xf numFmtId="0" fontId="3" fillId="6" borderId="0" xfId="0" applyFont="1" applyFill="1"/>
    <xf numFmtId="0" fontId="0" fillId="6" borderId="0" xfId="0" applyFill="1"/>
    <xf numFmtId="0" fontId="3" fillId="0" borderId="0" xfId="0" applyFont="1" applyAlignment="1">
      <alignment horizontal="left"/>
    </xf>
    <xf numFmtId="0" fontId="4" fillId="2" borderId="0" xfId="0" applyFont="1" applyFill="1" applyAlignment="1">
      <alignment horizontal="left" vertical="center"/>
    </xf>
    <xf numFmtId="0" fontId="2" fillId="0" borderId="0" xfId="0" applyFont="1" applyAlignment="1">
      <alignment vertical="top" wrapText="1"/>
    </xf>
    <xf numFmtId="0" fontId="3" fillId="0" borderId="0" xfId="0" applyFont="1" applyAlignment="1"/>
    <xf numFmtId="3" fontId="10" fillId="0" borderId="0" xfId="0" applyNumberFormat="1" applyFont="1" applyFill="1"/>
    <xf numFmtId="0" fontId="0" fillId="0" borderId="0" xfId="0" applyAlignment="1"/>
    <xf numFmtId="0" fontId="5" fillId="0" borderId="5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3" fillId="0" borderId="6" xfId="0" applyFont="1" applyBorder="1" applyAlignment="1">
      <alignment horizontal="right"/>
    </xf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3" fontId="3" fillId="0" borderId="0" xfId="0" applyNumberFormat="1" applyFont="1" applyBorder="1" applyAlignment="1">
      <alignment horizontal="right"/>
    </xf>
    <xf numFmtId="0" fontId="3" fillId="0" borderId="9" xfId="0" applyFont="1" applyBorder="1" applyAlignment="1">
      <alignment horizontal="left"/>
    </xf>
    <xf numFmtId="0" fontId="14" fillId="0" borderId="8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3" fontId="14" fillId="0" borderId="0" xfId="0" applyNumberFormat="1" applyFont="1" applyBorder="1" applyAlignment="1">
      <alignment horizontal="right"/>
    </xf>
    <xf numFmtId="0" fontId="14" fillId="0" borderId="9" xfId="0" applyFont="1" applyBorder="1" applyAlignment="1">
      <alignment horizontal="left"/>
    </xf>
    <xf numFmtId="0" fontId="3" fillId="0" borderId="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9" fontId="3" fillId="0" borderId="11" xfId="0" applyNumberFormat="1" applyFont="1" applyBorder="1" applyAlignment="1">
      <alignment horizontal="right"/>
    </xf>
    <xf numFmtId="0" fontId="3" fillId="0" borderId="12" xfId="0" applyFont="1" applyBorder="1" applyAlignment="1">
      <alignment horizontal="left"/>
    </xf>
    <xf numFmtId="3" fontId="5" fillId="0" borderId="0" xfId="0" applyNumberFormat="1" applyFont="1" applyFill="1" applyBorder="1"/>
    <xf numFmtId="0" fontId="3" fillId="0" borderId="0" xfId="0" applyNumberFormat="1" applyFont="1" applyAlignment="1">
      <alignment horizontal="left"/>
    </xf>
    <xf numFmtId="0" fontId="3" fillId="0" borderId="0" xfId="0" applyNumberFormat="1" applyFont="1"/>
    <xf numFmtId="0" fontId="25" fillId="0" borderId="0" xfId="0" applyFont="1"/>
    <xf numFmtId="0" fontId="16" fillId="0" borderId="0" xfId="0" applyNumberFormat="1" applyFont="1" applyAlignment="1">
      <alignment horizontal="right" indent="2"/>
    </xf>
    <xf numFmtId="0" fontId="13" fillId="0" borderId="0" xfId="0" applyNumberFormat="1" applyFont="1" applyAlignment="1">
      <alignment horizontal="left" indent="3"/>
    </xf>
    <xf numFmtId="0" fontId="25" fillId="0" borderId="0" xfId="0" applyNumberFormat="1" applyFont="1"/>
    <xf numFmtId="0" fontId="13" fillId="0" borderId="0" xfId="0" applyNumberFormat="1" applyFont="1" applyAlignment="1">
      <alignment horizontal="right" indent="2"/>
    </xf>
    <xf numFmtId="3" fontId="14" fillId="0" borderId="0" xfId="0" applyNumberFormat="1" applyFont="1"/>
    <xf numFmtId="3" fontId="16" fillId="0" borderId="0" xfId="0" applyNumberFormat="1" applyFont="1" applyAlignment="1">
      <alignment horizontal="right" indent="2"/>
    </xf>
    <xf numFmtId="3" fontId="13" fillId="0" borderId="0" xfId="0" applyNumberFormat="1" applyFont="1" applyAlignment="1">
      <alignment horizontal="left" indent="3"/>
    </xf>
    <xf numFmtId="3" fontId="25" fillId="0" borderId="0" xfId="0" applyNumberFormat="1" applyFont="1"/>
    <xf numFmtId="3" fontId="13" fillId="0" borderId="0" xfId="0" applyNumberFormat="1" applyFont="1" applyAlignment="1">
      <alignment horizontal="right" indent="2"/>
    </xf>
    <xf numFmtId="0" fontId="3" fillId="0" borderId="0" xfId="0" applyFont="1" applyAlignment="1">
      <alignment horizontal="left"/>
    </xf>
    <xf numFmtId="0" fontId="4" fillId="2" borderId="0" xfId="0" applyFont="1" applyFill="1" applyAlignment="1">
      <alignment horizontal="left" vertical="center"/>
    </xf>
    <xf numFmtId="0" fontId="3" fillId="0" borderId="0" xfId="0" applyNumberFormat="1" applyFont="1" applyAlignment="1">
      <alignment horizontal="left"/>
    </xf>
    <xf numFmtId="0" fontId="0" fillId="0" borderId="13" xfId="0" applyBorder="1" applyAlignment="1"/>
    <xf numFmtId="0" fontId="0" fillId="0" borderId="13" xfId="0" applyBorder="1"/>
    <xf numFmtId="3" fontId="26" fillId="0" borderId="0" xfId="0" applyNumberFormat="1" applyFont="1"/>
    <xf numFmtId="0" fontId="26" fillId="0" borderId="0" xfId="0" applyFont="1"/>
    <xf numFmtId="0" fontId="27" fillId="0" borderId="0" xfId="0" applyFont="1"/>
    <xf numFmtId="9" fontId="3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 horizontal="left" vertical="center"/>
    </xf>
    <xf numFmtId="0" fontId="3" fillId="0" borderId="21" xfId="0" applyFont="1" applyBorder="1"/>
    <xf numFmtId="0" fontId="11" fillId="0" borderId="14" xfId="0" applyFont="1" applyBorder="1"/>
    <xf numFmtId="0" fontId="11" fillId="0" borderId="15" xfId="0" applyFont="1" applyBorder="1"/>
    <xf numFmtId="0" fontId="11" fillId="0" borderId="17" xfId="0" applyFont="1" applyBorder="1"/>
    <xf numFmtId="0" fontId="28" fillId="7" borderId="0" xfId="0" applyFont="1" applyFill="1" applyBorder="1" applyAlignment="1">
      <alignment horizontal="left" vertical="center"/>
    </xf>
    <xf numFmtId="0" fontId="28" fillId="0" borderId="0" xfId="0" applyFont="1" applyBorder="1" applyAlignment="1">
      <alignment horizontal="center" vertical="center" wrapText="1"/>
    </xf>
    <xf numFmtId="0" fontId="11" fillId="0" borderId="19" xfId="0" applyFont="1" applyBorder="1" applyAlignment="1">
      <alignment vertical="center"/>
    </xf>
    <xf numFmtId="0" fontId="11" fillId="0" borderId="18" xfId="0" applyFont="1" applyBorder="1"/>
    <xf numFmtId="0" fontId="11" fillId="0" borderId="0" xfId="0" applyFont="1" applyBorder="1"/>
    <xf numFmtId="3" fontId="11" fillId="0" borderId="0" xfId="0" applyNumberFormat="1" applyFont="1" applyBorder="1" applyAlignment="1">
      <alignment horizontal="right"/>
    </xf>
    <xf numFmtId="3" fontId="11" fillId="0" borderId="0" xfId="0" applyNumberFormat="1" applyFont="1" applyBorder="1" applyAlignment="1"/>
    <xf numFmtId="0" fontId="28" fillId="0" borderId="19" xfId="0" applyFont="1" applyBorder="1"/>
    <xf numFmtId="0" fontId="29" fillId="0" borderId="18" xfId="0" applyFont="1" applyBorder="1"/>
    <xf numFmtId="0" fontId="29" fillId="0" borderId="0" xfId="0" applyFont="1" applyBorder="1"/>
    <xf numFmtId="3" fontId="29" fillId="0" borderId="0" xfId="0" applyNumberFormat="1" applyFont="1" applyBorder="1" applyAlignment="1">
      <alignment horizontal="right"/>
    </xf>
    <xf numFmtId="0" fontId="11" fillId="0" borderId="19" xfId="0" applyFont="1" applyBorder="1"/>
    <xf numFmtId="0" fontId="11" fillId="0" borderId="20" xfId="0" applyFont="1" applyBorder="1"/>
    <xf numFmtId="0" fontId="11" fillId="0" borderId="21" xfId="0" applyFont="1" applyBorder="1"/>
    <xf numFmtId="0" fontId="28" fillId="7" borderId="0" xfId="0" applyFont="1" applyFill="1" applyBorder="1" applyAlignment="1">
      <alignment horizontal="center" vertical="center" wrapText="1"/>
    </xf>
    <xf numFmtId="0" fontId="20" fillId="7" borderId="17" xfId="0" applyFont="1" applyFill="1" applyBorder="1" applyAlignment="1">
      <alignment horizontal="center"/>
    </xf>
    <xf numFmtId="3" fontId="0" fillId="0" borderId="0" xfId="0" applyNumberFormat="1"/>
    <xf numFmtId="0" fontId="3" fillId="0" borderId="0" xfId="0" applyFont="1" applyAlignment="1">
      <alignment vertical="center"/>
    </xf>
    <xf numFmtId="3" fontId="11" fillId="0" borderId="0" xfId="0" applyNumberFormat="1" applyFont="1"/>
    <xf numFmtId="0" fontId="5" fillId="2" borderId="0" xfId="0" applyFont="1" applyFill="1"/>
    <xf numFmtId="0" fontId="5" fillId="2" borderId="0" xfId="0" applyFont="1" applyFill="1" applyAlignment="1">
      <alignment horizontal="right"/>
    </xf>
    <xf numFmtId="3" fontId="11" fillId="0" borderId="4" xfId="0" applyNumberFormat="1" applyFont="1" applyBorder="1"/>
    <xf numFmtId="0" fontId="11" fillId="0" borderId="4" xfId="0" applyFont="1" applyBorder="1"/>
    <xf numFmtId="0" fontId="20" fillId="7" borderId="0" xfId="0" applyFont="1" applyFill="1" applyBorder="1" applyAlignment="1">
      <alignment horizontal="center" vertical="center"/>
    </xf>
    <xf numFmtId="3" fontId="11" fillId="0" borderId="0" xfId="0" applyNumberFormat="1" applyFont="1" applyFill="1" applyBorder="1"/>
    <xf numFmtId="0" fontId="28" fillId="0" borderId="0" xfId="0" applyFont="1" applyFill="1" applyBorder="1" applyAlignment="1">
      <alignment horizontal="center" vertical="center" wrapText="1"/>
    </xf>
    <xf numFmtId="3" fontId="11" fillId="0" borderId="0" xfId="0" applyNumberFormat="1" applyFont="1" applyFill="1" applyBorder="1" applyAlignment="1"/>
    <xf numFmtId="3" fontId="29" fillId="0" borderId="0" xfId="0" applyNumberFormat="1" applyFont="1" applyFill="1" applyBorder="1"/>
    <xf numFmtId="0" fontId="11" fillId="0" borderId="0" xfId="0" applyFont="1" applyFill="1" applyBorder="1"/>
    <xf numFmtId="0" fontId="20" fillId="7" borderId="18" xfId="0" applyFont="1" applyFill="1" applyBorder="1" applyAlignment="1">
      <alignment vertical="center"/>
    </xf>
    <xf numFmtId="0" fontId="20" fillId="7" borderId="0" xfId="0" applyFont="1" applyFill="1" applyBorder="1" applyAlignment="1">
      <alignment vertical="center"/>
    </xf>
    <xf numFmtId="0" fontId="28" fillId="7" borderId="23" xfId="0" applyFont="1" applyFill="1" applyBorder="1" applyAlignment="1">
      <alignment horizontal="left" vertical="center"/>
    </xf>
    <xf numFmtId="17" fontId="28" fillId="0" borderId="0" xfId="0" applyNumberFormat="1" applyFont="1" applyFill="1" applyBorder="1" applyAlignment="1">
      <alignment vertical="center"/>
    </xf>
    <xf numFmtId="49" fontId="11" fillId="0" borderId="0" xfId="0" applyNumberFormat="1" applyFont="1" applyFill="1" applyBorder="1" applyAlignment="1">
      <alignment horizontal="right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0" fontId="29" fillId="0" borderId="21" xfId="0" applyFont="1" applyFill="1" applyBorder="1"/>
    <xf numFmtId="3" fontId="28" fillId="0" borderId="21" xfId="0" applyNumberFormat="1" applyFont="1" applyFill="1" applyBorder="1"/>
    <xf numFmtId="0" fontId="28" fillId="0" borderId="21" xfId="0" applyFont="1" applyFill="1" applyBorder="1"/>
    <xf numFmtId="0" fontId="28" fillId="0" borderId="22" xfId="0" applyFont="1" applyFill="1" applyBorder="1"/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28" fillId="0" borderId="15" xfId="0" applyFont="1" applyFill="1" applyBorder="1" applyAlignment="1">
      <alignment horizontal="center"/>
    </xf>
    <xf numFmtId="3" fontId="11" fillId="0" borderId="0" xfId="0" applyNumberFormat="1" applyFont="1" applyBorder="1"/>
    <xf numFmtId="0" fontId="5" fillId="2" borderId="0" xfId="0" applyFont="1" applyFill="1" applyBorder="1" applyAlignment="1">
      <alignment horizontal="right"/>
    </xf>
    <xf numFmtId="3" fontId="20" fillId="0" borderId="0" xfId="0" applyNumberFormat="1" applyFont="1" applyFill="1" applyBorder="1"/>
    <xf numFmtId="0" fontId="11" fillId="0" borderId="4" xfId="0" applyFont="1" applyFill="1" applyBorder="1"/>
    <xf numFmtId="3" fontId="11" fillId="0" borderId="4" xfId="0" applyNumberFormat="1" applyFont="1" applyFill="1" applyBorder="1"/>
    <xf numFmtId="3" fontId="20" fillId="0" borderId="0" xfId="0" applyNumberFormat="1" applyFont="1"/>
    <xf numFmtId="0" fontId="20" fillId="0" borderId="0" xfId="0" applyFont="1" applyFill="1" applyBorder="1"/>
    <xf numFmtId="0" fontId="3" fillId="0" borderId="4" xfId="0" applyFont="1" applyBorder="1"/>
    <xf numFmtId="0" fontId="3" fillId="4" borderId="0" xfId="0" applyFont="1" applyFill="1" applyBorder="1"/>
    <xf numFmtId="3" fontId="3" fillId="4" borderId="0" xfId="0" applyNumberFormat="1" applyFont="1" applyFill="1" applyBorder="1"/>
    <xf numFmtId="0" fontId="5" fillId="4" borderId="0" xfId="0" applyFont="1" applyFill="1"/>
    <xf numFmtId="3" fontId="5" fillId="4" borderId="0" xfId="0" applyNumberFormat="1" applyFont="1" applyFill="1" applyBorder="1"/>
    <xf numFmtId="0" fontId="5" fillId="3" borderId="0" xfId="0" applyFont="1" applyFill="1" applyAlignment="1">
      <alignment horizontal="right"/>
    </xf>
    <xf numFmtId="0" fontId="5" fillId="3" borderId="0" xfId="0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4" fontId="14" fillId="0" borderId="0" xfId="0" applyNumberFormat="1" applyFont="1" applyBorder="1" applyAlignment="1">
      <alignment horizontal="right"/>
    </xf>
    <xf numFmtId="8" fontId="3" fillId="0" borderId="0" xfId="0" applyNumberFormat="1" applyFont="1"/>
    <xf numFmtId="9" fontId="26" fillId="0" borderId="0" xfId="0" applyNumberFormat="1" applyFont="1"/>
    <xf numFmtId="9" fontId="3" fillId="0" borderId="0" xfId="0" applyNumberFormat="1" applyFont="1"/>
    <xf numFmtId="37" fontId="30" fillId="0" borderId="0" xfId="0" applyNumberFormat="1" applyFont="1" applyFill="1" applyBorder="1"/>
    <xf numFmtId="37" fontId="31" fillId="0" borderId="0" xfId="0" applyNumberFormat="1" applyFont="1" applyFill="1" applyBorder="1"/>
    <xf numFmtId="37" fontId="32" fillId="0" borderId="0" xfId="0" applyNumberFormat="1" applyFont="1" applyFill="1" applyBorder="1"/>
    <xf numFmtId="0" fontId="33" fillId="0" borderId="0" xfId="0" applyFont="1" applyFill="1"/>
    <xf numFmtId="3" fontId="33" fillId="0" borderId="0" xfId="0" applyNumberFormat="1" applyFont="1" applyFill="1"/>
    <xf numFmtId="3" fontId="35" fillId="0" borderId="0" xfId="0" applyNumberFormat="1" applyFont="1" applyFill="1"/>
    <xf numFmtId="3" fontId="3" fillId="4" borderId="0" xfId="0" applyNumberFormat="1" applyFont="1" applyFill="1" applyBorder="1" applyAlignment="1">
      <alignment horizontal="right"/>
    </xf>
    <xf numFmtId="9" fontId="0" fillId="0" borderId="0" xfId="0" applyNumberFormat="1"/>
    <xf numFmtId="0" fontId="34" fillId="0" borderId="0" xfId="0" applyFont="1"/>
    <xf numFmtId="0" fontId="14" fillId="0" borderId="0" xfId="0" applyFont="1" applyBorder="1" applyAlignment="1">
      <alignment horizontal="left"/>
    </xf>
    <xf numFmtId="3" fontId="10" fillId="0" borderId="0" xfId="0" applyNumberFormat="1" applyFont="1" applyFill="1" applyBorder="1"/>
    <xf numFmtId="0" fontId="10" fillId="0" borderId="0" xfId="0" applyFont="1" applyFill="1" applyBorder="1"/>
    <xf numFmtId="0" fontId="0" fillId="4" borderId="0" xfId="0" applyFill="1"/>
    <xf numFmtId="0" fontId="28" fillId="6" borderId="16" xfId="0" applyFont="1" applyFill="1" applyBorder="1" applyAlignment="1">
      <alignment vertical="center"/>
    </xf>
    <xf numFmtId="3" fontId="11" fillId="6" borderId="0" xfId="0" applyNumberFormat="1" applyFont="1" applyFill="1" applyBorder="1" applyAlignment="1"/>
    <xf numFmtId="3" fontId="29" fillId="6" borderId="0" xfId="0" applyNumberFormat="1" applyFont="1" applyFill="1" applyBorder="1"/>
    <xf numFmtId="0" fontId="29" fillId="6" borderId="21" xfId="0" applyFont="1" applyFill="1" applyBorder="1"/>
    <xf numFmtId="3" fontId="28" fillId="6" borderId="21" xfId="0" applyNumberFormat="1" applyFont="1" applyFill="1" applyBorder="1"/>
    <xf numFmtId="0" fontId="28" fillId="6" borderId="21" xfId="0" applyFont="1" applyFill="1" applyBorder="1"/>
    <xf numFmtId="0" fontId="28" fillId="6" borderId="22" xfId="0" applyFont="1" applyFill="1" applyBorder="1"/>
    <xf numFmtId="0" fontId="28" fillId="6" borderId="23" xfId="0" applyFont="1" applyFill="1" applyBorder="1" applyAlignment="1">
      <alignment horizontal="center" vertical="center" wrapText="1"/>
    </xf>
    <xf numFmtId="0" fontId="28" fillId="6" borderId="0" xfId="0" applyFont="1" applyFill="1" applyBorder="1" applyAlignment="1">
      <alignment horizontal="center" vertical="center" wrapText="1"/>
    </xf>
    <xf numFmtId="0" fontId="28" fillId="6" borderId="0" xfId="0" applyFont="1" applyFill="1" applyBorder="1" applyAlignment="1">
      <alignment horizontal="right" vertical="center"/>
    </xf>
    <xf numFmtId="0" fontId="28" fillId="6" borderId="15" xfId="0" applyFont="1" applyFill="1" applyBorder="1" applyAlignment="1">
      <alignment horizontal="center"/>
    </xf>
    <xf numFmtId="3" fontId="11" fillId="6" borderId="0" xfId="0" applyNumberFormat="1" applyFont="1" applyFill="1" applyBorder="1" applyAlignment="1">
      <alignment horizontal="right"/>
    </xf>
    <xf numFmtId="3" fontId="29" fillId="6" borderId="0" xfId="0" applyNumberFormat="1" applyFont="1" applyFill="1" applyBorder="1" applyAlignment="1">
      <alignment horizontal="right"/>
    </xf>
    <xf numFmtId="0" fontId="16" fillId="0" borderId="9" xfId="0" applyFont="1" applyBorder="1" applyAlignment="1">
      <alignment horizontal="left"/>
    </xf>
    <xf numFmtId="0" fontId="16" fillId="0" borderId="8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4" fontId="16" fillId="0" borderId="0" xfId="0" applyNumberFormat="1" applyFont="1" applyBorder="1" applyAlignment="1">
      <alignment horizontal="right"/>
    </xf>
    <xf numFmtId="3" fontId="3" fillId="0" borderId="4" xfId="0" applyNumberFormat="1" applyFont="1" applyBorder="1"/>
    <xf numFmtId="0" fontId="24" fillId="8" borderId="0" xfId="0" applyFont="1" applyFill="1" applyBorder="1"/>
    <xf numFmtId="0" fontId="10" fillId="8" borderId="0" xfId="0" applyFont="1" applyFill="1" applyBorder="1"/>
    <xf numFmtId="3" fontId="24" fillId="8" borderId="0" xfId="0" applyNumberFormat="1" applyFont="1" applyFill="1" applyBorder="1"/>
    <xf numFmtId="0" fontId="37" fillId="8" borderId="0" xfId="0" applyFont="1" applyFill="1"/>
    <xf numFmtId="0" fontId="37" fillId="0" borderId="0" xfId="0" applyFont="1" applyFill="1"/>
    <xf numFmtId="0" fontId="3" fillId="0" borderId="0" xfId="0" applyFont="1" applyAlignment="1">
      <alignment horizontal="left"/>
    </xf>
    <xf numFmtId="0" fontId="3" fillId="0" borderId="0" xfId="0" applyFont="1" applyBorder="1"/>
    <xf numFmtId="3" fontId="3" fillId="0" borderId="0" xfId="0" applyNumberFormat="1" applyFont="1" applyBorder="1"/>
    <xf numFmtId="3" fontId="2" fillId="0" borderId="19" xfId="0" applyNumberFormat="1" applyFont="1" applyBorder="1" applyAlignment="1">
      <alignment horizontal="right" vertical="center"/>
    </xf>
    <xf numFmtId="3" fontId="2" fillId="0" borderId="22" xfId="0" applyNumberFormat="1" applyFont="1" applyBorder="1" applyAlignment="1">
      <alignment horizontal="right" vertical="center"/>
    </xf>
    <xf numFmtId="3" fontId="4" fillId="0" borderId="15" xfId="0" applyNumberFormat="1" applyFont="1" applyFill="1" applyBorder="1" applyAlignment="1">
      <alignment vertical="center"/>
    </xf>
    <xf numFmtId="3" fontId="4" fillId="0" borderId="17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19" xfId="0" applyNumberFormat="1" applyFont="1" applyFill="1" applyBorder="1" applyAlignment="1">
      <alignment vertical="center"/>
    </xf>
    <xf numFmtId="3" fontId="36" fillId="0" borderId="15" xfId="0" applyNumberFormat="1" applyFont="1" applyBorder="1" applyAlignment="1">
      <alignment vertical="center"/>
    </xf>
    <xf numFmtId="3" fontId="36" fillId="0" borderId="0" xfId="0" applyNumberFormat="1" applyFont="1" applyBorder="1" applyAlignment="1">
      <alignment vertical="center"/>
    </xf>
    <xf numFmtId="9" fontId="14" fillId="0" borderId="0" xfId="1" applyFont="1" applyFill="1"/>
    <xf numFmtId="49" fontId="16" fillId="0" borderId="0" xfId="0" applyNumberFormat="1" applyFont="1" applyFill="1" applyAlignment="1">
      <alignment horizontal="left"/>
    </xf>
    <xf numFmtId="164" fontId="7" fillId="0" borderId="0" xfId="0" applyNumberFormat="1" applyFont="1" applyFill="1"/>
    <xf numFmtId="0" fontId="16" fillId="0" borderId="0" xfId="0" applyFont="1" applyFill="1"/>
    <xf numFmtId="164" fontId="39" fillId="0" borderId="0" xfId="0" applyNumberFormat="1" applyFont="1" applyFill="1"/>
    <xf numFmtId="0" fontId="40" fillId="0" borderId="0" xfId="0" applyFont="1" applyFill="1"/>
    <xf numFmtId="49" fontId="16" fillId="6" borderId="0" xfId="0" applyNumberFormat="1" applyFont="1" applyFill="1" applyAlignment="1">
      <alignment horizontal="left"/>
    </xf>
    <xf numFmtId="3" fontId="5" fillId="6" borderId="0" xfId="0" applyNumberFormat="1" applyFont="1" applyFill="1"/>
    <xf numFmtId="0" fontId="4" fillId="4" borderId="14" xfId="0" applyFont="1" applyFill="1" applyBorder="1" applyAlignment="1">
      <alignment vertical="center"/>
    </xf>
    <xf numFmtId="0" fontId="4" fillId="4" borderId="15" xfId="0" applyFont="1" applyFill="1" applyBorder="1" applyAlignment="1">
      <alignment vertical="center"/>
    </xf>
    <xf numFmtId="0" fontId="4" fillId="4" borderId="18" xfId="0" applyFont="1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3" fontId="2" fillId="0" borderId="21" xfId="0" applyNumberFormat="1" applyFont="1" applyBorder="1" applyAlignment="1">
      <alignment vertical="center"/>
    </xf>
    <xf numFmtId="3" fontId="2" fillId="0" borderId="22" xfId="0" applyNumberFormat="1" applyFont="1" applyBorder="1" applyAlignment="1">
      <alignment vertical="center"/>
    </xf>
    <xf numFmtId="3" fontId="36" fillId="0" borderId="19" xfId="0" applyNumberFormat="1" applyFont="1" applyBorder="1" applyAlignment="1">
      <alignment horizontal="right" vertical="center"/>
    </xf>
    <xf numFmtId="3" fontId="36" fillId="0" borderId="17" xfId="0" applyNumberFormat="1" applyFont="1" applyBorder="1" applyAlignment="1">
      <alignment horizontal="right" vertical="center"/>
    </xf>
    <xf numFmtId="3" fontId="41" fillId="0" borderId="0" xfId="0" applyNumberFormat="1" applyFont="1"/>
    <xf numFmtId="10" fontId="15" fillId="0" borderId="0" xfId="0" applyNumberFormat="1" applyFont="1"/>
    <xf numFmtId="0" fontId="10" fillId="0" borderId="0" xfId="0" applyFont="1"/>
    <xf numFmtId="3" fontId="21" fillId="0" borderId="0" xfId="0" applyNumberFormat="1" applyFont="1"/>
    <xf numFmtId="10" fontId="15" fillId="0" borderId="0" xfId="2" applyNumberFormat="1" applyFont="1" applyBorder="1" applyAlignment="1">
      <alignment horizontal="right"/>
    </xf>
    <xf numFmtId="3" fontId="10" fillId="0" borderId="2" xfId="0" applyNumberFormat="1" applyFont="1" applyBorder="1"/>
    <xf numFmtId="0" fontId="43" fillId="3" borderId="0" xfId="0" applyFont="1" applyFill="1" applyBorder="1" applyAlignment="1">
      <alignment horizontal="center" vertical="center" wrapText="1"/>
    </xf>
    <xf numFmtId="3" fontId="24" fillId="4" borderId="0" xfId="0" applyNumberFormat="1" applyFont="1" applyFill="1"/>
    <xf numFmtId="10" fontId="15" fillId="0" borderId="0" xfId="0" applyNumberFormat="1" applyFont="1" applyFill="1"/>
    <xf numFmtId="3" fontId="24" fillId="6" borderId="0" xfId="0" applyNumberFormat="1" applyFont="1" applyFill="1"/>
    <xf numFmtId="164" fontId="15" fillId="0" borderId="0" xfId="0" applyNumberFormat="1" applyFont="1" applyFill="1"/>
    <xf numFmtId="164" fontId="44" fillId="0" borderId="0" xfId="0" applyNumberFormat="1" applyFont="1" applyFill="1"/>
    <xf numFmtId="3" fontId="10" fillId="0" borderId="0" xfId="0" applyNumberFormat="1" applyFont="1" applyBorder="1"/>
    <xf numFmtId="0" fontId="10" fillId="4" borderId="0" xfId="0" applyFont="1" applyFill="1"/>
    <xf numFmtId="0" fontId="0" fillId="0" borderId="0" xfId="0" applyAlignment="1">
      <alignment horizont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/>
    </xf>
    <xf numFmtId="0" fontId="14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5" fillId="4" borderId="14" xfId="0" applyFont="1" applyFill="1" applyBorder="1" applyAlignment="1">
      <alignment vertical="center"/>
    </xf>
    <xf numFmtId="0" fontId="5" fillId="4" borderId="15" xfId="0" applyFont="1" applyFill="1" applyBorder="1" applyAlignment="1">
      <alignment vertical="center"/>
    </xf>
    <xf numFmtId="0" fontId="5" fillId="4" borderId="18" xfId="0" applyFont="1" applyFill="1" applyBorder="1" applyAlignment="1">
      <alignment vertical="center"/>
    </xf>
    <xf numFmtId="0" fontId="5" fillId="4" borderId="0" xfId="0" applyFont="1" applyFill="1" applyBorder="1" applyAlignment="1">
      <alignment vertical="center"/>
    </xf>
    <xf numFmtId="3" fontId="24" fillId="0" borderId="14" xfId="0" applyNumberFormat="1" applyFont="1" applyBorder="1" applyAlignment="1">
      <alignment vertical="center"/>
    </xf>
    <xf numFmtId="3" fontId="24" fillId="0" borderId="17" xfId="0" applyNumberFormat="1" applyFont="1" applyBorder="1" applyAlignment="1">
      <alignment vertical="center"/>
    </xf>
    <xf numFmtId="3" fontId="24" fillId="0" borderId="18" xfId="0" applyNumberFormat="1" applyFont="1" applyBorder="1" applyAlignment="1">
      <alignment vertical="center"/>
    </xf>
    <xf numFmtId="3" fontId="24" fillId="0" borderId="19" xfId="0" applyNumberFormat="1" applyFont="1" applyBorder="1" applyAlignment="1">
      <alignment vertical="center"/>
    </xf>
    <xf numFmtId="0" fontId="5" fillId="4" borderId="18" xfId="0" applyFont="1" applyFill="1" applyBorder="1" applyAlignment="1"/>
    <xf numFmtId="0" fontId="5" fillId="4" borderId="0" xfId="0" applyFont="1" applyFill="1" applyBorder="1" applyAlignment="1"/>
    <xf numFmtId="0" fontId="5" fillId="4" borderId="20" xfId="0" applyFont="1" applyFill="1" applyBorder="1" applyAlignment="1"/>
    <xf numFmtId="0" fontId="5" fillId="4" borderId="21" xfId="0" applyFont="1" applyFill="1" applyBorder="1" applyAlignment="1"/>
    <xf numFmtId="3" fontId="5" fillId="0" borderId="18" xfId="0" applyNumberFormat="1" applyFont="1" applyBorder="1" applyAlignment="1">
      <alignment horizontal="right"/>
    </xf>
    <xf numFmtId="3" fontId="5" fillId="0" borderId="19" xfId="0" applyNumberFormat="1" applyFont="1" applyBorder="1" applyAlignment="1">
      <alignment horizontal="right"/>
    </xf>
    <xf numFmtId="3" fontId="5" fillId="0" borderId="20" xfId="0" applyNumberFormat="1" applyFont="1" applyBorder="1" applyAlignment="1">
      <alignment horizontal="right"/>
    </xf>
    <xf numFmtId="3" fontId="5" fillId="0" borderId="22" xfId="0" applyNumberFormat="1" applyFont="1" applyBorder="1" applyAlignment="1">
      <alignment horizontal="right"/>
    </xf>
    <xf numFmtId="0" fontId="5" fillId="4" borderId="18" xfId="0" applyFont="1" applyFill="1" applyBorder="1" applyAlignment="1">
      <alignment horizontal="left" vertical="center"/>
    </xf>
    <xf numFmtId="0" fontId="5" fillId="4" borderId="0" xfId="0" applyFont="1" applyFill="1" applyBorder="1" applyAlignment="1">
      <alignment horizontal="left" vertical="center"/>
    </xf>
    <xf numFmtId="0" fontId="5" fillId="4" borderId="20" xfId="0" applyFont="1" applyFill="1" applyBorder="1" applyAlignment="1">
      <alignment horizontal="left" vertical="center"/>
    </xf>
    <xf numFmtId="0" fontId="5" fillId="4" borderId="21" xfId="0" applyFont="1" applyFill="1" applyBorder="1" applyAlignment="1">
      <alignment horizontal="left" vertical="center"/>
    </xf>
    <xf numFmtId="3" fontId="5" fillId="0" borderId="0" xfId="0" applyNumberFormat="1" applyFont="1" applyBorder="1" applyAlignment="1">
      <alignment horizontal="right" vertical="center"/>
    </xf>
    <xf numFmtId="3" fontId="5" fillId="0" borderId="19" xfId="0" applyNumberFormat="1" applyFont="1" applyBorder="1" applyAlignment="1">
      <alignment horizontal="right" vertical="center"/>
    </xf>
    <xf numFmtId="3" fontId="5" fillId="0" borderId="21" xfId="0" applyNumberFormat="1" applyFont="1" applyBorder="1" applyAlignment="1">
      <alignment horizontal="right" vertical="center"/>
    </xf>
    <xf numFmtId="3" fontId="5" fillId="0" borderId="22" xfId="0" applyNumberFormat="1" applyFont="1" applyBorder="1" applyAlignment="1">
      <alignment horizontal="right" vertical="center"/>
    </xf>
    <xf numFmtId="0" fontId="4" fillId="2" borderId="0" xfId="0" applyFont="1" applyFill="1" applyAlignment="1">
      <alignment horizontal="left" vertical="center"/>
    </xf>
    <xf numFmtId="0" fontId="14" fillId="0" borderId="8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5" fillId="4" borderId="14" xfId="0" applyFont="1" applyFill="1" applyBorder="1" applyAlignment="1">
      <alignment horizontal="left" vertical="center"/>
    </xf>
    <xf numFmtId="0" fontId="5" fillId="4" borderId="15" xfId="0" applyFont="1" applyFill="1" applyBorder="1" applyAlignment="1">
      <alignment horizontal="left" vertical="center"/>
    </xf>
    <xf numFmtId="3" fontId="5" fillId="0" borderId="15" xfId="0" applyNumberFormat="1" applyFont="1" applyFill="1" applyBorder="1" applyAlignment="1">
      <alignment vertical="center"/>
    </xf>
    <xf numFmtId="3" fontId="5" fillId="0" borderId="17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5" fillId="0" borderId="19" xfId="0" applyNumberFormat="1" applyFont="1" applyFill="1" applyBorder="1" applyAlignment="1">
      <alignment vertical="center"/>
    </xf>
    <xf numFmtId="3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19" xfId="0" applyFont="1" applyBorder="1" applyAlignment="1">
      <alignment horizontal="right"/>
    </xf>
    <xf numFmtId="0" fontId="5" fillId="0" borderId="21" xfId="0" applyFont="1" applyBorder="1" applyAlignment="1">
      <alignment horizontal="right"/>
    </xf>
    <xf numFmtId="0" fontId="5" fillId="0" borderId="22" xfId="0" applyFont="1" applyBorder="1" applyAlignment="1">
      <alignment horizontal="right"/>
    </xf>
    <xf numFmtId="3" fontId="5" fillId="0" borderId="15" xfId="0" applyNumberFormat="1" applyFont="1" applyBorder="1" applyAlignment="1">
      <alignment horizontal="right" vertical="center"/>
    </xf>
    <xf numFmtId="3" fontId="5" fillId="0" borderId="17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4" borderId="0" xfId="0" applyFont="1" applyFill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5" fillId="4" borderId="0" xfId="0" applyNumberFormat="1" applyFont="1" applyFill="1" applyBorder="1" applyAlignment="1">
      <alignment horizontal="left"/>
    </xf>
    <xf numFmtId="0" fontId="13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4" fillId="4" borderId="18" xfId="0" applyFont="1" applyFill="1" applyBorder="1" applyAlignment="1">
      <alignment horizontal="left" vertical="center"/>
    </xf>
    <xf numFmtId="0" fontId="4" fillId="4" borderId="0" xfId="0" applyFont="1" applyFill="1" applyBorder="1" applyAlignment="1">
      <alignment horizontal="left" vertical="center"/>
    </xf>
    <xf numFmtId="3" fontId="4" fillId="0" borderId="0" xfId="0" applyNumberFormat="1" applyFont="1" applyBorder="1" applyAlignment="1">
      <alignment horizontal="right" vertical="center"/>
    </xf>
    <xf numFmtId="3" fontId="4" fillId="0" borderId="19" xfId="0" applyNumberFormat="1" applyFont="1" applyBorder="1" applyAlignment="1">
      <alignment horizontal="right" vertical="center"/>
    </xf>
    <xf numFmtId="0" fontId="4" fillId="4" borderId="20" xfId="0" applyFont="1" applyFill="1" applyBorder="1" applyAlignment="1">
      <alignment horizontal="left" vertical="center"/>
    </xf>
    <xf numFmtId="0" fontId="4" fillId="4" borderId="21" xfId="0" applyFont="1" applyFill="1" applyBorder="1" applyAlignment="1">
      <alignment horizontal="left" vertical="center"/>
    </xf>
    <xf numFmtId="3" fontId="4" fillId="0" borderId="21" xfId="0" applyNumberFormat="1" applyFont="1" applyBorder="1" applyAlignment="1">
      <alignment horizontal="right" vertical="center"/>
    </xf>
    <xf numFmtId="3" fontId="4" fillId="0" borderId="22" xfId="0" applyNumberFormat="1" applyFont="1" applyBorder="1" applyAlignment="1">
      <alignment horizontal="right" vertical="center"/>
    </xf>
    <xf numFmtId="0" fontId="4" fillId="4" borderId="14" xfId="0" applyFont="1" applyFill="1" applyBorder="1" applyAlignment="1">
      <alignment horizontal="left" vertical="center"/>
    </xf>
    <xf numFmtId="0" fontId="4" fillId="4" borderId="15" xfId="0" applyFont="1" applyFill="1" applyBorder="1" applyAlignment="1">
      <alignment horizontal="left" vertical="center"/>
    </xf>
    <xf numFmtId="3" fontId="4" fillId="0" borderId="15" xfId="0" applyNumberFormat="1" applyFont="1" applyBorder="1" applyAlignment="1">
      <alignment horizontal="right" vertical="center"/>
    </xf>
    <xf numFmtId="3" fontId="4" fillId="0" borderId="17" xfId="0" applyNumberFormat="1" applyFont="1" applyBorder="1" applyAlignment="1">
      <alignment horizontal="right" vertical="center"/>
    </xf>
    <xf numFmtId="3" fontId="5" fillId="4" borderId="0" xfId="0" applyNumberFormat="1" applyFont="1" applyFill="1" applyBorder="1" applyAlignment="1">
      <alignment horizontal="left"/>
    </xf>
    <xf numFmtId="3" fontId="3" fillId="0" borderId="0" xfId="0" applyNumberFormat="1" applyFont="1" applyAlignment="1">
      <alignment horizontal="left"/>
    </xf>
    <xf numFmtId="3" fontId="14" fillId="0" borderId="0" xfId="0" applyNumberFormat="1" applyFont="1" applyAlignment="1">
      <alignment horizontal="left"/>
    </xf>
    <xf numFmtId="0" fontId="2" fillId="0" borderId="0" xfId="0" applyFont="1" applyFill="1" applyAlignment="1">
      <alignment horizontal="center" vertical="top" wrapText="1"/>
    </xf>
    <xf numFmtId="0" fontId="13" fillId="0" borderId="0" xfId="2" applyFont="1" applyFill="1" applyBorder="1" applyAlignment="1" applyProtection="1">
      <alignment horizontal="left" wrapText="1"/>
      <protection locked="0"/>
    </xf>
    <xf numFmtId="0" fontId="17" fillId="0" borderId="0" xfId="2" applyFont="1" applyFill="1" applyBorder="1" applyAlignment="1" applyProtection="1">
      <alignment horizontal="left" wrapText="1"/>
      <protection locked="0"/>
    </xf>
    <xf numFmtId="0" fontId="4" fillId="4" borderId="0" xfId="0" applyFont="1" applyFill="1" applyAlignment="1">
      <alignment horizontal="left" vertical="center"/>
    </xf>
    <xf numFmtId="49" fontId="16" fillId="0" borderId="0" xfId="0" applyNumberFormat="1" applyFont="1" applyFill="1" applyAlignment="1">
      <alignment horizontal="left"/>
    </xf>
    <xf numFmtId="0" fontId="20" fillId="7" borderId="27" xfId="0" applyFont="1" applyFill="1" applyBorder="1" applyAlignment="1">
      <alignment horizontal="left" vertical="center"/>
    </xf>
    <xf numFmtId="0" fontId="20" fillId="7" borderId="24" xfId="0" applyFont="1" applyFill="1" applyBorder="1" applyAlignment="1">
      <alignment horizontal="left" vertical="center"/>
    </xf>
    <xf numFmtId="0" fontId="20" fillId="7" borderId="25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20" fillId="7" borderId="15" xfId="0" applyFont="1" applyFill="1" applyBorder="1" applyAlignment="1">
      <alignment horizontal="center"/>
    </xf>
    <xf numFmtId="0" fontId="20" fillId="7" borderId="17" xfId="0" applyFont="1" applyFill="1" applyBorder="1" applyAlignment="1">
      <alignment horizontal="center"/>
    </xf>
    <xf numFmtId="0" fontId="3" fillId="0" borderId="0" xfId="0" applyFont="1" applyAlignment="1">
      <alignment horizontal="left" wrapText="1"/>
    </xf>
    <xf numFmtId="0" fontId="20" fillId="7" borderId="18" xfId="0" applyFont="1" applyFill="1" applyBorder="1" applyAlignment="1">
      <alignment horizontal="left" vertical="center"/>
    </xf>
    <xf numFmtId="0" fontId="20" fillId="7" borderId="0" xfId="0" applyFont="1" applyFill="1" applyBorder="1" applyAlignment="1">
      <alignment horizontal="left" vertical="center"/>
    </xf>
    <xf numFmtId="0" fontId="28" fillId="6" borderId="14" xfId="0" applyFont="1" applyFill="1" applyBorder="1" applyAlignment="1">
      <alignment horizontal="left"/>
    </xf>
    <xf numFmtId="0" fontId="28" fillId="6" borderId="15" xfId="0" applyFont="1" applyFill="1" applyBorder="1" applyAlignment="1">
      <alignment horizontal="left"/>
    </xf>
    <xf numFmtId="0" fontId="28" fillId="6" borderId="17" xfId="0" applyFont="1" applyFill="1" applyBorder="1" applyAlignment="1">
      <alignment horizontal="left"/>
    </xf>
    <xf numFmtId="0" fontId="20" fillId="6" borderId="14" xfId="0" applyFont="1" applyFill="1" applyBorder="1" applyAlignment="1">
      <alignment horizontal="center"/>
    </xf>
    <xf numFmtId="0" fontId="20" fillId="6" borderId="26" xfId="0" applyFont="1" applyFill="1" applyBorder="1" applyAlignment="1">
      <alignment horizontal="center"/>
    </xf>
  </cellXfs>
  <cellStyles count="5">
    <cellStyle name="Čiarka 2" xfId="3"/>
    <cellStyle name="Normal 3" xfId="2"/>
    <cellStyle name="Normálna" xfId="0" builtinId="0"/>
    <cellStyle name="Normálna 2 2" xfId="4"/>
    <cellStyle name="Percentá" xfId="1" builtinId="5"/>
  </cellStyles>
  <dxfs count="0"/>
  <tableStyles count="0" defaultTableStyle="TableStyleMedium2" defaultPivotStyle="PivotStyleLight16"/>
  <colors>
    <mruColors>
      <color rgb="FFFFFFCC"/>
      <color rgb="FFB0F5FE"/>
      <color rgb="FFCCE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21166</xdr:colOff>
      <xdr:row>0</xdr:row>
      <xdr:rowOff>0</xdr:rowOff>
    </xdr:from>
    <xdr:to>
      <xdr:col>7</xdr:col>
      <xdr:colOff>707564</xdr:colOff>
      <xdr:row>10</xdr:row>
      <xdr:rowOff>25400</xdr:rowOff>
    </xdr:to>
    <xdr:pic>
      <xdr:nvPicPr>
        <xdr:cNvPr id="4" name="Obrázok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66" y="0"/>
          <a:ext cx="4933842" cy="18245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</xdr:colOff>
      <xdr:row>0</xdr:row>
      <xdr:rowOff>0</xdr:rowOff>
    </xdr:from>
    <xdr:to>
      <xdr:col>2</xdr:col>
      <xdr:colOff>586812</xdr:colOff>
      <xdr:row>2</xdr:row>
      <xdr:rowOff>279700</xdr:rowOff>
    </xdr:to>
    <xdr:pic>
      <xdr:nvPicPr>
        <xdr:cNvPr id="2" name="Obrázok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0"/>
          <a:ext cx="1755212" cy="64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374087</xdr:colOff>
      <xdr:row>2</xdr:row>
      <xdr:rowOff>100312</xdr:rowOff>
    </xdr:to>
    <xdr:pic>
      <xdr:nvPicPr>
        <xdr:cNvPr id="2" name="Obrázok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55212" cy="64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374087</xdr:colOff>
      <xdr:row>2</xdr:row>
      <xdr:rowOff>100312</xdr:rowOff>
    </xdr:to>
    <xdr:pic>
      <xdr:nvPicPr>
        <xdr:cNvPr id="2" name="Obrázok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58387" cy="6464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0</xdr:rowOff>
    </xdr:from>
    <xdr:to>
      <xdr:col>2</xdr:col>
      <xdr:colOff>603141</xdr:colOff>
      <xdr:row>3</xdr:row>
      <xdr:rowOff>2921</xdr:rowOff>
    </xdr:to>
    <xdr:pic>
      <xdr:nvPicPr>
        <xdr:cNvPr id="2" name="Obrázok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0"/>
          <a:ext cx="1753197" cy="6520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6350</xdr:rowOff>
    </xdr:from>
    <xdr:to>
      <xdr:col>2</xdr:col>
      <xdr:colOff>440864</xdr:colOff>
      <xdr:row>2</xdr:row>
      <xdr:rowOff>290082</xdr:rowOff>
    </xdr:to>
    <xdr:pic>
      <xdr:nvPicPr>
        <xdr:cNvPr id="2" name="Obrázok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6350"/>
          <a:ext cx="1753197" cy="6520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539641</xdr:colOff>
      <xdr:row>2</xdr:row>
      <xdr:rowOff>212571</xdr:rowOff>
    </xdr:to>
    <xdr:pic>
      <xdr:nvPicPr>
        <xdr:cNvPr id="2" name="Obrázok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55212" cy="64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42334</xdr:colOff>
      <xdr:row>0</xdr:row>
      <xdr:rowOff>0</xdr:rowOff>
    </xdr:from>
    <xdr:to>
      <xdr:col>2</xdr:col>
      <xdr:colOff>589031</xdr:colOff>
      <xdr:row>2</xdr:row>
      <xdr:rowOff>218115</xdr:rowOff>
    </xdr:to>
    <xdr:pic>
      <xdr:nvPicPr>
        <xdr:cNvPr id="3" name="Obrázok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334" y="0"/>
          <a:ext cx="1774364" cy="6520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</xdr:colOff>
      <xdr:row>0</xdr:row>
      <xdr:rowOff>0</xdr:rowOff>
    </xdr:from>
    <xdr:to>
      <xdr:col>2</xdr:col>
      <xdr:colOff>586812</xdr:colOff>
      <xdr:row>3</xdr:row>
      <xdr:rowOff>114600</xdr:rowOff>
    </xdr:to>
    <xdr:pic>
      <xdr:nvPicPr>
        <xdr:cNvPr id="2" name="Obrázok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0"/>
          <a:ext cx="1755212" cy="64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apacitn&#253;%20model%20Nemocnica%20Poprad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Metodológia"/>
      <sheetName val="Status quo+Base Case"/>
      <sheetName val="Rekonštrukcia"/>
      <sheetName val="Lôžkový fond 1"/>
      <sheetName val="Lôžkový fond 2"/>
      <sheetName val="Koniec"/>
    </sheetNames>
    <sheetDataSet>
      <sheetData sheetId="0"/>
      <sheetData sheetId="1"/>
      <sheetData sheetId="2">
        <row r="35">
          <cell r="B35">
            <v>21627</v>
          </cell>
          <cell r="C35">
            <v>21951</v>
          </cell>
          <cell r="D35">
            <v>29061</v>
          </cell>
          <cell r="E35">
            <v>27572</v>
          </cell>
          <cell r="F35">
            <v>26772.5</v>
          </cell>
          <cell r="G35">
            <v>16175</v>
          </cell>
          <cell r="H35">
            <v>14456</v>
          </cell>
          <cell r="I35">
            <v>15880.8</v>
          </cell>
          <cell r="J35">
            <v>18038.448000000004</v>
          </cell>
          <cell r="K35">
            <v>19040.879280000001</v>
          </cell>
          <cell r="L35">
            <v>19715.816718400001</v>
          </cell>
          <cell r="M35">
            <v>20209.925395952003</v>
          </cell>
          <cell r="N35">
            <v>20712.269964830564</v>
          </cell>
          <cell r="O35">
            <v>20909.03652949645</v>
          </cell>
          <cell r="P35">
            <v>21100.936281088823</v>
          </cell>
          <cell r="Q35">
            <v>21290.84470761862</v>
          </cell>
          <cell r="R35">
            <v>21318.522805738521</v>
          </cell>
          <cell r="S35">
            <v>21341.97318082484</v>
          </cell>
          <cell r="T35">
            <v>21361.180956687582</v>
          </cell>
          <cell r="U35">
            <v>21376.133783357258</v>
          </cell>
          <cell r="V35">
            <v>21388.95946362727</v>
          </cell>
          <cell r="W35">
            <v>21399.653943359081</v>
          </cell>
          <cell r="X35">
            <v>21408.213804936429</v>
          </cell>
          <cell r="Y35">
            <v>21416.777090458407</v>
          </cell>
          <cell r="Z35">
            <v>21423.202123585546</v>
          </cell>
          <cell r="AA35">
            <v>21429.629084222615</v>
          </cell>
          <cell r="AB35">
            <v>21275.335754816213</v>
          </cell>
          <cell r="AC35">
            <v>21120.02580380606</v>
          </cell>
          <cell r="AD35">
            <v>20965.84961543827</v>
          </cell>
          <cell r="AE35">
            <v>20812.79891324557</v>
          </cell>
          <cell r="AF35">
            <v>20660.86548117888</v>
          </cell>
          <cell r="AG35">
            <v>20510.041163166276</v>
          </cell>
          <cell r="AH35">
            <v>20360.317862675165</v>
          </cell>
          <cell r="AI35">
            <v>20211.687542277636</v>
          </cell>
          <cell r="AJ35">
            <v>20064.142223219005</v>
          </cell>
          <cell r="AK35">
            <v>19919.680399211826</v>
          </cell>
        </row>
        <row r="54">
          <cell r="B54">
            <v>11558</v>
          </cell>
          <cell r="C54">
            <v>12625</v>
          </cell>
          <cell r="D54">
            <v>9638</v>
          </cell>
          <cell r="E54">
            <v>10343</v>
          </cell>
          <cell r="F54">
            <v>11986</v>
          </cell>
          <cell r="G54">
            <v>8965</v>
          </cell>
          <cell r="H54">
            <v>9379</v>
          </cell>
          <cell r="I54">
            <v>12740.399999999998</v>
          </cell>
          <cell r="J54">
            <v>12995.207999999999</v>
          </cell>
          <cell r="K54">
            <v>13255.112159999999</v>
          </cell>
          <cell r="L54">
            <v>13520.2144032</v>
          </cell>
          <cell r="M54">
            <v>13790.618691264002</v>
          </cell>
          <cell r="N54">
            <v>14066.431065089284</v>
          </cell>
          <cell r="O54">
            <v>14347.759686391071</v>
          </cell>
          <cell r="P54">
            <v>14562.976081686933</v>
          </cell>
          <cell r="Q54">
            <v>14781.420722912237</v>
          </cell>
          <cell r="R54">
            <v>15003.142033755919</v>
          </cell>
          <cell r="S54">
            <v>15228.189164262254</v>
          </cell>
          <cell r="T54">
            <v>15456.612001726187</v>
          </cell>
          <cell r="U54">
            <v>15688.46118175208</v>
          </cell>
          <cell r="V54">
            <v>15923.788099478359</v>
          </cell>
          <cell r="W54">
            <v>16083.025980473141</v>
          </cell>
          <cell r="X54">
            <v>16243.856240277875</v>
          </cell>
          <cell r="Y54">
            <v>16406.294802680655</v>
          </cell>
          <cell r="Z54">
            <v>16570.357750707459</v>
          </cell>
          <cell r="AA54">
            <v>16736.061328214531</v>
          </cell>
          <cell r="AB54">
            <v>16903.421941496679</v>
          </cell>
          <cell r="AC54">
            <v>17072.456160911646</v>
          </cell>
          <cell r="AD54">
            <v>17243.180722520759</v>
          </cell>
          <cell r="AE54">
            <v>17415.612529745969</v>
          </cell>
          <cell r="AF54">
            <v>17415.612529745969</v>
          </cell>
          <cell r="AG54">
            <v>17415.612529745969</v>
          </cell>
          <cell r="AH54">
            <v>17415.612529745969</v>
          </cell>
          <cell r="AI54">
            <v>17415.612529745969</v>
          </cell>
          <cell r="AJ54">
            <v>17415.612529745969</v>
          </cell>
          <cell r="AK54">
            <v>17415.612529745969</v>
          </cell>
        </row>
      </sheetData>
      <sheetData sheetId="3">
        <row r="35">
          <cell r="B35">
            <v>21627</v>
          </cell>
          <cell r="C35">
            <v>21951</v>
          </cell>
          <cell r="D35">
            <v>29061</v>
          </cell>
          <cell r="E35">
            <v>27572</v>
          </cell>
          <cell r="F35">
            <v>26772.5</v>
          </cell>
          <cell r="G35">
            <v>16175</v>
          </cell>
          <cell r="H35">
            <v>14456</v>
          </cell>
          <cell r="I35">
            <v>15880.8</v>
          </cell>
          <cell r="J35">
            <v>17982.996719999999</v>
          </cell>
          <cell r="K35">
            <v>14127.342223232001</v>
          </cell>
          <cell r="L35">
            <v>14127.342223232001</v>
          </cell>
          <cell r="M35">
            <v>14127.342223232001</v>
          </cell>
          <cell r="N35">
            <v>15846.984937649035</v>
          </cell>
          <cell r="O35">
            <v>17452.485474187633</v>
          </cell>
          <cell r="P35">
            <v>18345.493929925407</v>
          </cell>
          <cell r="Q35">
            <v>18598.964816178672</v>
          </cell>
          <cell r="R35">
            <v>18820.140313581105</v>
          </cell>
          <cell r="S35">
            <v>19027.117491350571</v>
          </cell>
          <cell r="T35">
            <v>19238.659991555054</v>
          </cell>
          <cell r="U35">
            <v>19453.627518203466</v>
          </cell>
          <cell r="V35">
            <v>19670.559281124526</v>
          </cell>
          <cell r="W35">
            <v>19847.481085542422</v>
          </cell>
          <cell r="X35">
            <v>20031.591199192113</v>
          </cell>
          <cell r="Y35">
            <v>20220.263576496294</v>
          </cell>
          <cell r="Z35">
            <v>20413.736540739585</v>
          </cell>
          <cell r="AA35">
            <v>20526.009835144512</v>
          </cell>
          <cell r="AB35">
            <v>20645.201434212227</v>
          </cell>
          <cell r="AC35">
            <v>20649.330474499071</v>
          </cell>
          <cell r="AD35">
            <v>20903.620712586566</v>
          </cell>
          <cell r="AE35">
            <v>21044.392010369211</v>
          </cell>
          <cell r="AF35">
            <v>21179.341569687029</v>
          </cell>
          <cell r="AG35">
            <v>21322.806350270832</v>
          </cell>
          <cell r="AH35">
            <v>21475.160146723087</v>
          </cell>
          <cell r="AI35">
            <v>21658.275566429522</v>
          </cell>
          <cell r="AJ35">
            <v>21850.636962645614</v>
          </cell>
          <cell r="AK35">
            <v>22056.296032507085</v>
          </cell>
        </row>
        <row r="54">
          <cell r="B54">
            <v>11558</v>
          </cell>
          <cell r="C54">
            <v>12625</v>
          </cell>
          <cell r="D54">
            <v>9638</v>
          </cell>
          <cell r="E54">
            <v>10343</v>
          </cell>
          <cell r="F54">
            <v>11986</v>
          </cell>
          <cell r="G54">
            <v>8965</v>
          </cell>
          <cell r="H54">
            <v>9379</v>
          </cell>
          <cell r="I54">
            <v>12740.399999999998</v>
          </cell>
          <cell r="J54">
            <v>12995.207999999999</v>
          </cell>
          <cell r="K54">
            <v>13255.112159999999</v>
          </cell>
          <cell r="L54">
            <v>13520.2144032</v>
          </cell>
          <cell r="M54">
            <v>13790.618691264002</v>
          </cell>
          <cell r="N54">
            <v>14135.384158545599</v>
          </cell>
          <cell r="O54">
            <v>14488.76876250924</v>
          </cell>
          <cell r="P54">
            <v>14850.987981571972</v>
          </cell>
          <cell r="Q54">
            <v>15073.752801295546</v>
          </cell>
          <cell r="R54">
            <v>15299.859093314981</v>
          </cell>
          <cell r="S54">
            <v>15529.356979714705</v>
          </cell>
          <cell r="T54">
            <v>15762.297334410423</v>
          </cell>
          <cell r="U54">
            <v>15998.731794426578</v>
          </cell>
          <cell r="V54">
            <v>16238.712771342976</v>
          </cell>
          <cell r="W54">
            <v>16401.099899056408</v>
          </cell>
          <cell r="X54">
            <v>16565.110898046969</v>
          </cell>
          <cell r="Y54">
            <v>16730.762007027442</v>
          </cell>
          <cell r="Z54">
            <v>16898.069627097713</v>
          </cell>
          <cell r="AA54">
            <v>17067.05032336869</v>
          </cell>
          <cell r="AB54">
            <v>17237.720826602377</v>
          </cell>
          <cell r="AC54">
            <v>17410.098034868402</v>
          </cell>
          <cell r="AD54">
            <v>17584.199015217084</v>
          </cell>
          <cell r="AE54">
            <v>17760.041005369254</v>
          </cell>
          <cell r="AF54">
            <v>17760.041005369254</v>
          </cell>
          <cell r="AG54">
            <v>17760.041005369254</v>
          </cell>
          <cell r="AH54">
            <v>17760.041005369254</v>
          </cell>
          <cell r="AI54">
            <v>17760.041005369254</v>
          </cell>
          <cell r="AJ54">
            <v>17760.041005369254</v>
          </cell>
          <cell r="AK54">
            <v>17760.041005369254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50"/>
  <sheetViews>
    <sheetView topLeftCell="A4" zoomScale="90" zoomScaleNormal="90" workbookViewId="0">
      <selection activeCell="A11" sqref="A11:BX50"/>
    </sheetView>
  </sheetViews>
  <sheetFormatPr defaultRowHeight="14.5" x14ac:dyDescent="0.35"/>
  <cols>
    <col min="8" max="8" width="10.1796875" customWidth="1"/>
  </cols>
  <sheetData>
    <row r="1" spans="1:76" ht="14.5" customHeight="1" x14ac:dyDescent="0.35">
      <c r="A1" s="278"/>
      <c r="B1" s="278"/>
      <c r="C1" s="278"/>
      <c r="D1" s="278"/>
      <c r="E1" s="278"/>
      <c r="F1" s="278"/>
      <c r="G1" s="278"/>
      <c r="H1" s="278"/>
      <c r="I1" s="279" t="s">
        <v>73</v>
      </c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94"/>
      <c r="X1" s="94"/>
    </row>
    <row r="2" spans="1:76" ht="14.5" customHeight="1" x14ac:dyDescent="0.35">
      <c r="A2" s="278"/>
      <c r="B2" s="278"/>
      <c r="C2" s="278"/>
      <c r="D2" s="278"/>
      <c r="E2" s="278"/>
      <c r="F2" s="278"/>
      <c r="G2" s="278"/>
      <c r="H2" s="278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W2" s="94"/>
      <c r="X2" s="94"/>
    </row>
    <row r="3" spans="1:76" ht="14.5" customHeight="1" x14ac:dyDescent="0.35">
      <c r="A3" s="278"/>
      <c r="B3" s="278"/>
      <c r="C3" s="278"/>
      <c r="D3" s="278"/>
      <c r="E3" s="278"/>
      <c r="F3" s="278"/>
      <c r="G3" s="278"/>
      <c r="H3" s="278"/>
      <c r="I3" s="279"/>
      <c r="J3" s="279"/>
      <c r="K3" s="279"/>
      <c r="L3" s="279"/>
      <c r="M3" s="279"/>
      <c r="N3" s="279"/>
      <c r="O3" s="279"/>
      <c r="P3" s="279"/>
      <c r="Q3" s="279"/>
      <c r="R3" s="279"/>
      <c r="S3" s="279"/>
      <c r="T3" s="279"/>
      <c r="U3" s="279"/>
      <c r="V3" s="279"/>
      <c r="W3" s="94"/>
      <c r="X3" s="94"/>
    </row>
    <row r="4" spans="1:76" ht="14.5" customHeight="1" x14ac:dyDescent="0.35">
      <c r="A4" s="278"/>
      <c r="B4" s="278"/>
      <c r="C4" s="278"/>
      <c r="D4" s="278"/>
      <c r="E4" s="278"/>
      <c r="F4" s="278"/>
      <c r="G4" s="278"/>
      <c r="H4" s="278"/>
      <c r="I4" s="279"/>
      <c r="J4" s="279"/>
      <c r="K4" s="279"/>
      <c r="L4" s="279"/>
      <c r="M4" s="279"/>
      <c r="N4" s="279"/>
      <c r="O4" s="279"/>
      <c r="P4" s="279"/>
      <c r="Q4" s="279"/>
      <c r="R4" s="279"/>
      <c r="S4" s="279"/>
      <c r="T4" s="279"/>
      <c r="U4" s="279"/>
      <c r="V4" s="279"/>
      <c r="W4" s="94"/>
      <c r="X4" s="94"/>
    </row>
    <row r="5" spans="1:76" ht="14.5" customHeight="1" x14ac:dyDescent="0.35">
      <c r="A5" s="278"/>
      <c r="B5" s="278"/>
      <c r="C5" s="278"/>
      <c r="D5" s="278"/>
      <c r="E5" s="278"/>
      <c r="F5" s="278"/>
      <c r="G5" s="278"/>
      <c r="H5" s="278"/>
      <c r="I5" s="279"/>
      <c r="J5" s="279"/>
      <c r="K5" s="279"/>
      <c r="L5" s="279"/>
      <c r="M5" s="279"/>
      <c r="N5" s="279"/>
      <c r="O5" s="279"/>
      <c r="P5" s="279"/>
      <c r="Q5" s="279"/>
      <c r="R5" s="279"/>
      <c r="S5" s="279"/>
      <c r="T5" s="279"/>
      <c r="U5" s="279"/>
      <c r="V5" s="279"/>
      <c r="W5" s="94"/>
      <c r="X5" s="94"/>
    </row>
    <row r="6" spans="1:76" ht="14.5" customHeight="1" x14ac:dyDescent="0.35">
      <c r="A6" s="278"/>
      <c r="B6" s="278"/>
      <c r="C6" s="278"/>
      <c r="D6" s="278"/>
      <c r="E6" s="278"/>
      <c r="F6" s="278"/>
      <c r="G6" s="278"/>
      <c r="H6" s="278"/>
      <c r="I6" s="280" t="s">
        <v>72</v>
      </c>
      <c r="J6" s="280"/>
      <c r="K6" s="280"/>
      <c r="L6" s="280"/>
      <c r="M6" s="280"/>
      <c r="N6" s="280"/>
      <c r="O6" s="280"/>
      <c r="P6" s="280"/>
      <c r="Q6" s="280"/>
      <c r="R6" s="280"/>
      <c r="S6" s="280"/>
      <c r="T6" s="280"/>
      <c r="U6" s="280"/>
      <c r="V6" s="280"/>
      <c r="W6" s="94"/>
      <c r="X6" s="94"/>
    </row>
    <row r="7" spans="1:76" ht="14.5" customHeight="1" x14ac:dyDescent="0.35">
      <c r="A7" s="278"/>
      <c r="B7" s="278"/>
      <c r="C7" s="278"/>
      <c r="D7" s="278"/>
      <c r="E7" s="278"/>
      <c r="F7" s="278"/>
      <c r="G7" s="278"/>
      <c r="H7" s="278"/>
      <c r="I7" s="280"/>
      <c r="J7" s="280"/>
      <c r="K7" s="280"/>
      <c r="L7" s="280"/>
      <c r="M7" s="280"/>
      <c r="N7" s="280"/>
      <c r="O7" s="280"/>
      <c r="P7" s="280"/>
      <c r="Q7" s="280"/>
      <c r="R7" s="280"/>
      <c r="S7" s="280"/>
      <c r="T7" s="280"/>
      <c r="U7" s="280"/>
      <c r="V7" s="280"/>
      <c r="W7" s="94"/>
      <c r="X7" s="94"/>
    </row>
    <row r="8" spans="1:76" ht="14.5" customHeight="1" x14ac:dyDescent="0.35">
      <c r="A8" s="278"/>
      <c r="B8" s="278"/>
      <c r="C8" s="278"/>
      <c r="D8" s="278"/>
      <c r="E8" s="278"/>
      <c r="F8" s="278"/>
      <c r="G8" s="278"/>
      <c r="H8" s="278"/>
      <c r="I8" s="280"/>
      <c r="J8" s="280"/>
      <c r="K8" s="280"/>
      <c r="L8" s="280"/>
      <c r="M8" s="280"/>
      <c r="N8" s="280"/>
      <c r="O8" s="280"/>
      <c r="P8" s="280"/>
      <c r="Q8" s="280"/>
      <c r="R8" s="280"/>
      <c r="S8" s="280"/>
      <c r="T8" s="280"/>
      <c r="U8" s="280"/>
      <c r="V8" s="280"/>
      <c r="W8" s="94"/>
      <c r="X8" s="94"/>
    </row>
    <row r="9" spans="1:76" x14ac:dyDescent="0.35">
      <c r="A9" s="278"/>
      <c r="B9" s="278"/>
      <c r="C9" s="278"/>
      <c r="D9" s="278"/>
      <c r="E9" s="278"/>
      <c r="F9" s="278"/>
      <c r="G9" s="278"/>
      <c r="H9" s="278"/>
      <c r="I9" s="281" t="s">
        <v>158</v>
      </c>
      <c r="J9" s="281"/>
      <c r="K9" s="281"/>
      <c r="L9" s="281"/>
      <c r="M9" s="281"/>
      <c r="N9" s="281"/>
      <c r="O9" s="281"/>
      <c r="P9" s="281"/>
      <c r="Q9" s="281"/>
      <c r="R9" s="281"/>
      <c r="S9" s="281"/>
      <c r="T9" s="281"/>
      <c r="U9" s="281"/>
      <c r="V9" s="281"/>
      <c r="W9" s="94"/>
      <c r="X9" s="94"/>
    </row>
    <row r="10" spans="1:76" s="128" customFormat="1" ht="11.5" customHeight="1" thickBot="1" x14ac:dyDescent="0.4">
      <c r="A10" s="278"/>
      <c r="B10" s="278"/>
      <c r="C10" s="278"/>
      <c r="D10" s="278"/>
      <c r="E10" s="278"/>
      <c r="F10" s="278"/>
      <c r="G10" s="278"/>
      <c r="H10" s="278"/>
      <c r="I10" s="281"/>
      <c r="J10" s="281"/>
      <c r="K10" s="281"/>
      <c r="L10" s="281"/>
      <c r="M10" s="281"/>
      <c r="N10" s="281"/>
      <c r="O10" s="281"/>
      <c r="P10" s="281"/>
      <c r="Q10" s="281"/>
      <c r="R10" s="281"/>
      <c r="S10" s="281"/>
      <c r="T10" s="281"/>
      <c r="U10" s="281"/>
      <c r="V10" s="281"/>
      <c r="W10" s="127"/>
      <c r="X10" s="127"/>
    </row>
    <row r="11" spans="1:76" x14ac:dyDescent="0.35">
      <c r="A11" s="278"/>
      <c r="B11" s="278"/>
      <c r="C11" s="278"/>
      <c r="D11" s="278"/>
      <c r="E11" s="278"/>
      <c r="F11" s="278"/>
      <c r="G11" s="278"/>
      <c r="H11" s="278"/>
      <c r="I11" s="278"/>
      <c r="J11" s="278"/>
      <c r="K11" s="278"/>
      <c r="L11" s="278"/>
      <c r="M11" s="278"/>
      <c r="N11" s="278"/>
      <c r="O11" s="278"/>
      <c r="P11" s="278"/>
      <c r="Q11" s="278"/>
      <c r="R11" s="278"/>
      <c r="S11" s="278"/>
      <c r="T11" s="278"/>
      <c r="U11" s="278"/>
      <c r="V11" s="278"/>
      <c r="W11" s="278"/>
      <c r="X11" s="278"/>
      <c r="Y11" s="278"/>
      <c r="Z11" s="278"/>
      <c r="AA11" s="278"/>
      <c r="AB11" s="278"/>
      <c r="AC11" s="278"/>
      <c r="AD11" s="278"/>
      <c r="AE11" s="278"/>
      <c r="AF11" s="278"/>
      <c r="AG11" s="278"/>
      <c r="AH11" s="278"/>
      <c r="AI11" s="278"/>
      <c r="AJ11" s="278"/>
      <c r="AK11" s="278"/>
      <c r="AL11" s="278"/>
      <c r="AM11" s="278"/>
      <c r="AN11" s="278"/>
      <c r="AO11" s="278"/>
      <c r="AP11" s="278"/>
      <c r="AQ11" s="278"/>
      <c r="AR11" s="278"/>
      <c r="AS11" s="278"/>
      <c r="AT11" s="278"/>
      <c r="AU11" s="278"/>
      <c r="AV11" s="278"/>
      <c r="AW11" s="278"/>
      <c r="AX11" s="278"/>
      <c r="AY11" s="278"/>
      <c r="AZ11" s="278"/>
      <c r="BA11" s="278"/>
      <c r="BB11" s="278"/>
      <c r="BC11" s="278"/>
      <c r="BD11" s="278"/>
      <c r="BE11" s="278"/>
      <c r="BF11" s="278"/>
      <c r="BG11" s="278"/>
      <c r="BH11" s="278"/>
      <c r="BI11" s="278"/>
      <c r="BJ11" s="278"/>
      <c r="BK11" s="278"/>
      <c r="BL11" s="278"/>
      <c r="BM11" s="278"/>
      <c r="BN11" s="278"/>
      <c r="BO11" s="278"/>
      <c r="BP11" s="278"/>
      <c r="BQ11" s="278"/>
      <c r="BR11" s="278"/>
      <c r="BS11" s="278"/>
      <c r="BT11" s="278"/>
      <c r="BU11" s="278"/>
      <c r="BV11" s="278"/>
      <c r="BW11" s="278"/>
      <c r="BX11" s="278"/>
    </row>
    <row r="12" spans="1:76" x14ac:dyDescent="0.35">
      <c r="A12" s="278"/>
      <c r="B12" s="278"/>
      <c r="C12" s="278"/>
      <c r="D12" s="278"/>
      <c r="E12" s="278"/>
      <c r="F12" s="278"/>
      <c r="G12" s="278"/>
      <c r="H12" s="278"/>
      <c r="I12" s="278"/>
      <c r="J12" s="278"/>
      <c r="K12" s="278"/>
      <c r="L12" s="278"/>
      <c r="M12" s="278"/>
      <c r="N12" s="278"/>
      <c r="O12" s="278"/>
      <c r="P12" s="278"/>
      <c r="Q12" s="278"/>
      <c r="R12" s="278"/>
      <c r="S12" s="278"/>
      <c r="T12" s="278"/>
      <c r="U12" s="278"/>
      <c r="V12" s="278"/>
      <c r="W12" s="278"/>
      <c r="X12" s="278"/>
      <c r="Y12" s="278"/>
      <c r="Z12" s="278"/>
      <c r="AA12" s="278"/>
      <c r="AB12" s="278"/>
      <c r="AC12" s="278"/>
      <c r="AD12" s="278"/>
      <c r="AE12" s="278"/>
      <c r="AF12" s="278"/>
      <c r="AG12" s="278"/>
      <c r="AH12" s="278"/>
      <c r="AI12" s="278"/>
      <c r="AJ12" s="278"/>
      <c r="AK12" s="278"/>
      <c r="AL12" s="278"/>
      <c r="AM12" s="278"/>
      <c r="AN12" s="278"/>
      <c r="AO12" s="278"/>
      <c r="AP12" s="278"/>
      <c r="AQ12" s="278"/>
      <c r="AR12" s="278"/>
      <c r="AS12" s="278"/>
      <c r="AT12" s="278"/>
      <c r="AU12" s="278"/>
      <c r="AV12" s="278"/>
      <c r="AW12" s="278"/>
      <c r="AX12" s="278"/>
      <c r="AY12" s="278"/>
      <c r="AZ12" s="278"/>
      <c r="BA12" s="278"/>
      <c r="BB12" s="278"/>
      <c r="BC12" s="278"/>
      <c r="BD12" s="278"/>
      <c r="BE12" s="278"/>
      <c r="BF12" s="278"/>
      <c r="BG12" s="278"/>
      <c r="BH12" s="278"/>
      <c r="BI12" s="278"/>
      <c r="BJ12" s="278"/>
      <c r="BK12" s="278"/>
      <c r="BL12" s="278"/>
      <c r="BM12" s="278"/>
      <c r="BN12" s="278"/>
      <c r="BO12" s="278"/>
      <c r="BP12" s="278"/>
      <c r="BQ12" s="278"/>
      <c r="BR12" s="278"/>
      <c r="BS12" s="278"/>
      <c r="BT12" s="278"/>
      <c r="BU12" s="278"/>
      <c r="BV12" s="278"/>
      <c r="BW12" s="278"/>
      <c r="BX12" s="278"/>
    </row>
    <row r="13" spans="1:76" x14ac:dyDescent="0.35">
      <c r="A13" s="278"/>
      <c r="B13" s="278"/>
      <c r="C13" s="278"/>
      <c r="D13" s="278"/>
      <c r="E13" s="278"/>
      <c r="F13" s="278"/>
      <c r="G13" s="278"/>
      <c r="H13" s="278"/>
      <c r="I13" s="278"/>
      <c r="J13" s="278"/>
      <c r="K13" s="278"/>
      <c r="L13" s="278"/>
      <c r="M13" s="278"/>
      <c r="N13" s="278"/>
      <c r="O13" s="278"/>
      <c r="P13" s="278"/>
      <c r="Q13" s="278"/>
      <c r="R13" s="278"/>
      <c r="S13" s="278"/>
      <c r="T13" s="278"/>
      <c r="U13" s="278"/>
      <c r="V13" s="278"/>
      <c r="W13" s="278"/>
      <c r="X13" s="278"/>
      <c r="Y13" s="278"/>
      <c r="Z13" s="278"/>
      <c r="AA13" s="278"/>
      <c r="AB13" s="278"/>
      <c r="AC13" s="278"/>
      <c r="AD13" s="278"/>
      <c r="AE13" s="278"/>
      <c r="AF13" s="278"/>
      <c r="AG13" s="278"/>
      <c r="AH13" s="278"/>
      <c r="AI13" s="278"/>
      <c r="AJ13" s="278"/>
      <c r="AK13" s="278"/>
      <c r="AL13" s="278"/>
      <c r="AM13" s="278"/>
      <c r="AN13" s="278"/>
      <c r="AO13" s="278"/>
      <c r="AP13" s="278"/>
      <c r="AQ13" s="278"/>
      <c r="AR13" s="278"/>
      <c r="AS13" s="278"/>
      <c r="AT13" s="278"/>
      <c r="AU13" s="278"/>
      <c r="AV13" s="278"/>
      <c r="AW13" s="278"/>
      <c r="AX13" s="278"/>
      <c r="AY13" s="278"/>
      <c r="AZ13" s="278"/>
      <c r="BA13" s="278"/>
      <c r="BB13" s="278"/>
      <c r="BC13" s="278"/>
      <c r="BD13" s="278"/>
      <c r="BE13" s="278"/>
      <c r="BF13" s="278"/>
      <c r="BG13" s="278"/>
      <c r="BH13" s="278"/>
      <c r="BI13" s="278"/>
      <c r="BJ13" s="278"/>
      <c r="BK13" s="278"/>
      <c r="BL13" s="278"/>
      <c r="BM13" s="278"/>
      <c r="BN13" s="278"/>
      <c r="BO13" s="278"/>
      <c r="BP13" s="278"/>
      <c r="BQ13" s="278"/>
      <c r="BR13" s="278"/>
      <c r="BS13" s="278"/>
      <c r="BT13" s="278"/>
      <c r="BU13" s="278"/>
      <c r="BV13" s="278"/>
      <c r="BW13" s="278"/>
      <c r="BX13" s="278"/>
    </row>
    <row r="14" spans="1:76" x14ac:dyDescent="0.35">
      <c r="A14" s="278"/>
      <c r="B14" s="278"/>
      <c r="C14" s="278"/>
      <c r="D14" s="278"/>
      <c r="E14" s="278"/>
      <c r="F14" s="278"/>
      <c r="G14" s="278"/>
      <c r="H14" s="278"/>
      <c r="I14" s="278"/>
      <c r="J14" s="278"/>
      <c r="K14" s="278"/>
      <c r="L14" s="278"/>
      <c r="M14" s="278"/>
      <c r="N14" s="278"/>
      <c r="O14" s="278"/>
      <c r="P14" s="278"/>
      <c r="Q14" s="278"/>
      <c r="R14" s="278"/>
      <c r="S14" s="278"/>
      <c r="T14" s="278"/>
      <c r="U14" s="278"/>
      <c r="V14" s="278"/>
      <c r="W14" s="278"/>
      <c r="X14" s="278"/>
      <c r="Y14" s="278"/>
      <c r="Z14" s="278"/>
      <c r="AA14" s="278"/>
      <c r="AB14" s="278"/>
      <c r="AC14" s="278"/>
      <c r="AD14" s="278"/>
      <c r="AE14" s="278"/>
      <c r="AF14" s="278"/>
      <c r="AG14" s="278"/>
      <c r="AH14" s="278"/>
      <c r="AI14" s="278"/>
      <c r="AJ14" s="278"/>
      <c r="AK14" s="278"/>
      <c r="AL14" s="278"/>
      <c r="AM14" s="278"/>
      <c r="AN14" s="278"/>
      <c r="AO14" s="278"/>
      <c r="AP14" s="278"/>
      <c r="AQ14" s="278"/>
      <c r="AR14" s="278"/>
      <c r="AS14" s="278"/>
      <c r="AT14" s="278"/>
      <c r="AU14" s="278"/>
      <c r="AV14" s="278"/>
      <c r="AW14" s="278"/>
      <c r="AX14" s="278"/>
      <c r="AY14" s="278"/>
      <c r="AZ14" s="278"/>
      <c r="BA14" s="278"/>
      <c r="BB14" s="278"/>
      <c r="BC14" s="278"/>
      <c r="BD14" s="278"/>
      <c r="BE14" s="278"/>
      <c r="BF14" s="278"/>
      <c r="BG14" s="278"/>
      <c r="BH14" s="278"/>
      <c r="BI14" s="278"/>
      <c r="BJ14" s="278"/>
      <c r="BK14" s="278"/>
      <c r="BL14" s="278"/>
      <c r="BM14" s="278"/>
      <c r="BN14" s="278"/>
      <c r="BO14" s="278"/>
      <c r="BP14" s="278"/>
      <c r="BQ14" s="278"/>
      <c r="BR14" s="278"/>
      <c r="BS14" s="278"/>
      <c r="BT14" s="278"/>
      <c r="BU14" s="278"/>
      <c r="BV14" s="278"/>
      <c r="BW14" s="278"/>
      <c r="BX14" s="278"/>
    </row>
    <row r="15" spans="1:76" x14ac:dyDescent="0.35">
      <c r="A15" s="278"/>
      <c r="B15" s="278"/>
      <c r="C15" s="278"/>
      <c r="D15" s="278"/>
      <c r="E15" s="278"/>
      <c r="F15" s="278"/>
      <c r="G15" s="278"/>
      <c r="H15" s="278"/>
      <c r="I15" s="278"/>
      <c r="J15" s="278"/>
      <c r="K15" s="278"/>
      <c r="L15" s="278"/>
      <c r="M15" s="278"/>
      <c r="N15" s="278"/>
      <c r="O15" s="278"/>
      <c r="P15" s="278"/>
      <c r="Q15" s="278"/>
      <c r="R15" s="278"/>
      <c r="S15" s="278"/>
      <c r="T15" s="278"/>
      <c r="U15" s="278"/>
      <c r="V15" s="278"/>
      <c r="W15" s="278"/>
      <c r="X15" s="278"/>
      <c r="Y15" s="278"/>
      <c r="Z15" s="278"/>
      <c r="AA15" s="278"/>
      <c r="AB15" s="278"/>
      <c r="AC15" s="278"/>
      <c r="AD15" s="278"/>
      <c r="AE15" s="278"/>
      <c r="AF15" s="278"/>
      <c r="AG15" s="278"/>
      <c r="AH15" s="278"/>
      <c r="AI15" s="278"/>
      <c r="AJ15" s="278"/>
      <c r="AK15" s="278"/>
      <c r="AL15" s="278"/>
      <c r="AM15" s="278"/>
      <c r="AN15" s="278"/>
      <c r="AO15" s="278"/>
      <c r="AP15" s="278"/>
      <c r="AQ15" s="278"/>
      <c r="AR15" s="278"/>
      <c r="AS15" s="278"/>
      <c r="AT15" s="278"/>
      <c r="AU15" s="278"/>
      <c r="AV15" s="278"/>
      <c r="AW15" s="278"/>
      <c r="AX15" s="278"/>
      <c r="AY15" s="278"/>
      <c r="AZ15" s="278"/>
      <c r="BA15" s="278"/>
      <c r="BB15" s="278"/>
      <c r="BC15" s="278"/>
      <c r="BD15" s="278"/>
      <c r="BE15" s="278"/>
      <c r="BF15" s="278"/>
      <c r="BG15" s="278"/>
      <c r="BH15" s="278"/>
      <c r="BI15" s="278"/>
      <c r="BJ15" s="278"/>
      <c r="BK15" s="278"/>
      <c r="BL15" s="278"/>
      <c r="BM15" s="278"/>
      <c r="BN15" s="278"/>
      <c r="BO15" s="278"/>
      <c r="BP15" s="278"/>
      <c r="BQ15" s="278"/>
      <c r="BR15" s="278"/>
      <c r="BS15" s="278"/>
      <c r="BT15" s="278"/>
      <c r="BU15" s="278"/>
      <c r="BV15" s="278"/>
      <c r="BW15" s="278"/>
      <c r="BX15" s="278"/>
    </row>
    <row r="16" spans="1:76" x14ac:dyDescent="0.35">
      <c r="A16" s="278"/>
      <c r="B16" s="278"/>
      <c r="C16" s="278"/>
      <c r="D16" s="278"/>
      <c r="E16" s="278"/>
      <c r="F16" s="278"/>
      <c r="G16" s="278"/>
      <c r="H16" s="278"/>
      <c r="I16" s="278"/>
      <c r="J16" s="278"/>
      <c r="K16" s="278"/>
      <c r="L16" s="278"/>
      <c r="M16" s="278"/>
      <c r="N16" s="278"/>
      <c r="O16" s="278"/>
      <c r="P16" s="278"/>
      <c r="Q16" s="278"/>
      <c r="R16" s="278"/>
      <c r="S16" s="278"/>
      <c r="T16" s="278"/>
      <c r="U16" s="278"/>
      <c r="V16" s="278"/>
      <c r="W16" s="278"/>
      <c r="X16" s="278"/>
      <c r="Y16" s="278"/>
      <c r="Z16" s="278"/>
      <c r="AA16" s="278"/>
      <c r="AB16" s="278"/>
      <c r="AC16" s="278"/>
      <c r="AD16" s="278"/>
      <c r="AE16" s="278"/>
      <c r="AF16" s="278"/>
      <c r="AG16" s="278"/>
      <c r="AH16" s="278"/>
      <c r="AI16" s="278"/>
      <c r="AJ16" s="278"/>
      <c r="AK16" s="278"/>
      <c r="AL16" s="278"/>
      <c r="AM16" s="278"/>
      <c r="AN16" s="278"/>
      <c r="AO16" s="278"/>
      <c r="AP16" s="278"/>
      <c r="AQ16" s="278"/>
      <c r="AR16" s="278"/>
      <c r="AS16" s="278"/>
      <c r="AT16" s="278"/>
      <c r="AU16" s="278"/>
      <c r="AV16" s="278"/>
      <c r="AW16" s="278"/>
      <c r="AX16" s="278"/>
      <c r="AY16" s="278"/>
      <c r="AZ16" s="278"/>
      <c r="BA16" s="278"/>
      <c r="BB16" s="278"/>
      <c r="BC16" s="278"/>
      <c r="BD16" s="278"/>
      <c r="BE16" s="278"/>
      <c r="BF16" s="278"/>
      <c r="BG16" s="278"/>
      <c r="BH16" s="278"/>
      <c r="BI16" s="278"/>
      <c r="BJ16" s="278"/>
      <c r="BK16" s="278"/>
      <c r="BL16" s="278"/>
      <c r="BM16" s="278"/>
      <c r="BN16" s="278"/>
      <c r="BO16" s="278"/>
      <c r="BP16" s="278"/>
      <c r="BQ16" s="278"/>
      <c r="BR16" s="278"/>
      <c r="BS16" s="278"/>
      <c r="BT16" s="278"/>
      <c r="BU16" s="278"/>
      <c r="BV16" s="278"/>
      <c r="BW16" s="278"/>
      <c r="BX16" s="278"/>
    </row>
    <row r="17" spans="1:76" x14ac:dyDescent="0.35">
      <c r="A17" s="278"/>
      <c r="B17" s="278"/>
      <c r="C17" s="278"/>
      <c r="D17" s="278"/>
      <c r="E17" s="278"/>
      <c r="F17" s="278"/>
      <c r="G17" s="278"/>
      <c r="H17" s="278"/>
      <c r="I17" s="278"/>
      <c r="J17" s="278"/>
      <c r="K17" s="278"/>
      <c r="L17" s="278"/>
      <c r="M17" s="278"/>
      <c r="N17" s="278"/>
      <c r="O17" s="278"/>
      <c r="P17" s="278"/>
      <c r="Q17" s="278"/>
      <c r="R17" s="278"/>
      <c r="S17" s="278"/>
      <c r="T17" s="278"/>
      <c r="U17" s="278"/>
      <c r="V17" s="278"/>
      <c r="W17" s="278"/>
      <c r="X17" s="278"/>
      <c r="Y17" s="278"/>
      <c r="Z17" s="278"/>
      <c r="AA17" s="278"/>
      <c r="AB17" s="278"/>
      <c r="AC17" s="278"/>
      <c r="AD17" s="278"/>
      <c r="AE17" s="278"/>
      <c r="AF17" s="278"/>
      <c r="AG17" s="278"/>
      <c r="AH17" s="278"/>
      <c r="AI17" s="278"/>
      <c r="AJ17" s="278"/>
      <c r="AK17" s="278"/>
      <c r="AL17" s="278"/>
      <c r="AM17" s="278"/>
      <c r="AN17" s="278"/>
      <c r="AO17" s="278"/>
      <c r="AP17" s="278"/>
      <c r="AQ17" s="278"/>
      <c r="AR17" s="278"/>
      <c r="AS17" s="278"/>
      <c r="AT17" s="278"/>
      <c r="AU17" s="278"/>
      <c r="AV17" s="278"/>
      <c r="AW17" s="278"/>
      <c r="AX17" s="278"/>
      <c r="AY17" s="278"/>
      <c r="AZ17" s="278"/>
      <c r="BA17" s="278"/>
      <c r="BB17" s="278"/>
      <c r="BC17" s="278"/>
      <c r="BD17" s="278"/>
      <c r="BE17" s="278"/>
      <c r="BF17" s="278"/>
      <c r="BG17" s="278"/>
      <c r="BH17" s="278"/>
      <c r="BI17" s="278"/>
      <c r="BJ17" s="278"/>
      <c r="BK17" s="278"/>
      <c r="BL17" s="278"/>
      <c r="BM17" s="278"/>
      <c r="BN17" s="278"/>
      <c r="BO17" s="278"/>
      <c r="BP17" s="278"/>
      <c r="BQ17" s="278"/>
      <c r="BR17" s="278"/>
      <c r="BS17" s="278"/>
      <c r="BT17" s="278"/>
      <c r="BU17" s="278"/>
      <c r="BV17" s="278"/>
      <c r="BW17" s="278"/>
      <c r="BX17" s="278"/>
    </row>
    <row r="18" spans="1:76" x14ac:dyDescent="0.35">
      <c r="A18" s="278"/>
      <c r="B18" s="278"/>
      <c r="C18" s="278"/>
      <c r="D18" s="278"/>
      <c r="E18" s="278"/>
      <c r="F18" s="278"/>
      <c r="G18" s="278"/>
      <c r="H18" s="278"/>
      <c r="I18" s="278"/>
      <c r="J18" s="278"/>
      <c r="K18" s="278"/>
      <c r="L18" s="278"/>
      <c r="M18" s="278"/>
      <c r="N18" s="278"/>
      <c r="O18" s="278"/>
      <c r="P18" s="278"/>
      <c r="Q18" s="278"/>
      <c r="R18" s="278"/>
      <c r="S18" s="278"/>
      <c r="T18" s="278"/>
      <c r="U18" s="278"/>
      <c r="V18" s="278"/>
      <c r="W18" s="278"/>
      <c r="X18" s="278"/>
      <c r="Y18" s="278"/>
      <c r="Z18" s="278"/>
      <c r="AA18" s="278"/>
      <c r="AB18" s="278"/>
      <c r="AC18" s="278"/>
      <c r="AD18" s="278"/>
      <c r="AE18" s="278"/>
      <c r="AF18" s="278"/>
      <c r="AG18" s="278"/>
      <c r="AH18" s="278"/>
      <c r="AI18" s="278"/>
      <c r="AJ18" s="278"/>
      <c r="AK18" s="278"/>
      <c r="AL18" s="278"/>
      <c r="AM18" s="278"/>
      <c r="AN18" s="278"/>
      <c r="AO18" s="278"/>
      <c r="AP18" s="278"/>
      <c r="AQ18" s="278"/>
      <c r="AR18" s="278"/>
      <c r="AS18" s="278"/>
      <c r="AT18" s="278"/>
      <c r="AU18" s="278"/>
      <c r="AV18" s="278"/>
      <c r="AW18" s="278"/>
      <c r="AX18" s="278"/>
      <c r="AY18" s="278"/>
      <c r="AZ18" s="278"/>
      <c r="BA18" s="278"/>
      <c r="BB18" s="278"/>
      <c r="BC18" s="278"/>
      <c r="BD18" s="278"/>
      <c r="BE18" s="278"/>
      <c r="BF18" s="278"/>
      <c r="BG18" s="278"/>
      <c r="BH18" s="278"/>
      <c r="BI18" s="278"/>
      <c r="BJ18" s="278"/>
      <c r="BK18" s="278"/>
      <c r="BL18" s="278"/>
      <c r="BM18" s="278"/>
      <c r="BN18" s="278"/>
      <c r="BO18" s="278"/>
      <c r="BP18" s="278"/>
      <c r="BQ18" s="278"/>
      <c r="BR18" s="278"/>
      <c r="BS18" s="278"/>
      <c r="BT18" s="278"/>
      <c r="BU18" s="278"/>
      <c r="BV18" s="278"/>
      <c r="BW18" s="278"/>
      <c r="BX18" s="278"/>
    </row>
    <row r="19" spans="1:76" x14ac:dyDescent="0.35">
      <c r="A19" s="278"/>
      <c r="B19" s="278"/>
      <c r="C19" s="278"/>
      <c r="D19" s="278"/>
      <c r="E19" s="278"/>
      <c r="F19" s="278"/>
      <c r="G19" s="278"/>
      <c r="H19" s="278"/>
      <c r="I19" s="278"/>
      <c r="J19" s="278"/>
      <c r="K19" s="278"/>
      <c r="L19" s="278"/>
      <c r="M19" s="278"/>
      <c r="N19" s="278"/>
      <c r="O19" s="278"/>
      <c r="P19" s="278"/>
      <c r="Q19" s="278"/>
      <c r="R19" s="278"/>
      <c r="S19" s="278"/>
      <c r="T19" s="278"/>
      <c r="U19" s="278"/>
      <c r="V19" s="278"/>
      <c r="W19" s="278"/>
      <c r="X19" s="278"/>
      <c r="Y19" s="278"/>
      <c r="Z19" s="278"/>
      <c r="AA19" s="278"/>
      <c r="AB19" s="278"/>
      <c r="AC19" s="278"/>
      <c r="AD19" s="278"/>
      <c r="AE19" s="278"/>
      <c r="AF19" s="278"/>
      <c r="AG19" s="278"/>
      <c r="AH19" s="278"/>
      <c r="AI19" s="278"/>
      <c r="AJ19" s="278"/>
      <c r="AK19" s="278"/>
      <c r="AL19" s="278"/>
      <c r="AM19" s="278"/>
      <c r="AN19" s="278"/>
      <c r="AO19" s="278"/>
      <c r="AP19" s="278"/>
      <c r="AQ19" s="278"/>
      <c r="AR19" s="278"/>
      <c r="AS19" s="278"/>
      <c r="AT19" s="278"/>
      <c r="AU19" s="278"/>
      <c r="AV19" s="278"/>
      <c r="AW19" s="278"/>
      <c r="AX19" s="278"/>
      <c r="AY19" s="278"/>
      <c r="AZ19" s="278"/>
      <c r="BA19" s="278"/>
      <c r="BB19" s="278"/>
      <c r="BC19" s="278"/>
      <c r="BD19" s="278"/>
      <c r="BE19" s="278"/>
      <c r="BF19" s="278"/>
      <c r="BG19" s="278"/>
      <c r="BH19" s="278"/>
      <c r="BI19" s="278"/>
      <c r="BJ19" s="278"/>
      <c r="BK19" s="278"/>
      <c r="BL19" s="278"/>
      <c r="BM19" s="278"/>
      <c r="BN19" s="278"/>
      <c r="BO19" s="278"/>
      <c r="BP19" s="278"/>
      <c r="BQ19" s="278"/>
      <c r="BR19" s="278"/>
      <c r="BS19" s="278"/>
      <c r="BT19" s="278"/>
      <c r="BU19" s="278"/>
      <c r="BV19" s="278"/>
      <c r="BW19" s="278"/>
      <c r="BX19" s="278"/>
    </row>
    <row r="20" spans="1:76" x14ac:dyDescent="0.35">
      <c r="A20" s="278"/>
      <c r="B20" s="278"/>
      <c r="C20" s="278"/>
      <c r="D20" s="278"/>
      <c r="E20" s="278"/>
      <c r="F20" s="278"/>
      <c r="G20" s="278"/>
      <c r="H20" s="278"/>
      <c r="I20" s="278"/>
      <c r="J20" s="278"/>
      <c r="K20" s="278"/>
      <c r="L20" s="278"/>
      <c r="M20" s="278"/>
      <c r="N20" s="278"/>
      <c r="O20" s="278"/>
      <c r="P20" s="278"/>
      <c r="Q20" s="278"/>
      <c r="R20" s="278"/>
      <c r="S20" s="278"/>
      <c r="T20" s="278"/>
      <c r="U20" s="278"/>
      <c r="V20" s="278"/>
      <c r="W20" s="278"/>
      <c r="X20" s="278"/>
      <c r="Y20" s="278"/>
      <c r="Z20" s="278"/>
      <c r="AA20" s="278"/>
      <c r="AB20" s="278"/>
      <c r="AC20" s="278"/>
      <c r="AD20" s="278"/>
      <c r="AE20" s="278"/>
      <c r="AF20" s="278"/>
      <c r="AG20" s="278"/>
      <c r="AH20" s="278"/>
      <c r="AI20" s="278"/>
      <c r="AJ20" s="278"/>
      <c r="AK20" s="278"/>
      <c r="AL20" s="278"/>
      <c r="AM20" s="278"/>
      <c r="AN20" s="278"/>
      <c r="AO20" s="278"/>
      <c r="AP20" s="278"/>
      <c r="AQ20" s="278"/>
      <c r="AR20" s="278"/>
      <c r="AS20" s="278"/>
      <c r="AT20" s="278"/>
      <c r="AU20" s="278"/>
      <c r="AV20" s="278"/>
      <c r="AW20" s="278"/>
      <c r="AX20" s="278"/>
      <c r="AY20" s="278"/>
      <c r="AZ20" s="278"/>
      <c r="BA20" s="278"/>
      <c r="BB20" s="278"/>
      <c r="BC20" s="278"/>
      <c r="BD20" s="278"/>
      <c r="BE20" s="278"/>
      <c r="BF20" s="278"/>
      <c r="BG20" s="278"/>
      <c r="BH20" s="278"/>
      <c r="BI20" s="278"/>
      <c r="BJ20" s="278"/>
      <c r="BK20" s="278"/>
      <c r="BL20" s="278"/>
      <c r="BM20" s="278"/>
      <c r="BN20" s="278"/>
      <c r="BO20" s="278"/>
      <c r="BP20" s="278"/>
      <c r="BQ20" s="278"/>
      <c r="BR20" s="278"/>
      <c r="BS20" s="278"/>
      <c r="BT20" s="278"/>
      <c r="BU20" s="278"/>
      <c r="BV20" s="278"/>
      <c r="BW20" s="278"/>
      <c r="BX20" s="278"/>
    </row>
    <row r="21" spans="1:76" x14ac:dyDescent="0.35">
      <c r="A21" s="278"/>
      <c r="B21" s="278"/>
      <c r="C21" s="278"/>
      <c r="D21" s="278"/>
      <c r="E21" s="278"/>
      <c r="F21" s="278"/>
      <c r="G21" s="278"/>
      <c r="H21" s="278"/>
      <c r="I21" s="278"/>
      <c r="J21" s="278"/>
      <c r="K21" s="278"/>
      <c r="L21" s="278"/>
      <c r="M21" s="278"/>
      <c r="N21" s="278"/>
      <c r="O21" s="278"/>
      <c r="P21" s="278"/>
      <c r="Q21" s="278"/>
      <c r="R21" s="278"/>
      <c r="S21" s="278"/>
      <c r="T21" s="278"/>
      <c r="U21" s="278"/>
      <c r="V21" s="278"/>
      <c r="W21" s="278"/>
      <c r="X21" s="278"/>
      <c r="Y21" s="278"/>
      <c r="Z21" s="278"/>
      <c r="AA21" s="278"/>
      <c r="AB21" s="278"/>
      <c r="AC21" s="278"/>
      <c r="AD21" s="278"/>
      <c r="AE21" s="278"/>
      <c r="AF21" s="278"/>
      <c r="AG21" s="278"/>
      <c r="AH21" s="278"/>
      <c r="AI21" s="278"/>
      <c r="AJ21" s="278"/>
      <c r="AK21" s="278"/>
      <c r="AL21" s="278"/>
      <c r="AM21" s="278"/>
      <c r="AN21" s="278"/>
      <c r="AO21" s="278"/>
      <c r="AP21" s="278"/>
      <c r="AQ21" s="278"/>
      <c r="AR21" s="278"/>
      <c r="AS21" s="278"/>
      <c r="AT21" s="278"/>
      <c r="AU21" s="278"/>
      <c r="AV21" s="278"/>
      <c r="AW21" s="278"/>
      <c r="AX21" s="278"/>
      <c r="AY21" s="278"/>
      <c r="AZ21" s="278"/>
      <c r="BA21" s="278"/>
      <c r="BB21" s="278"/>
      <c r="BC21" s="278"/>
      <c r="BD21" s="278"/>
      <c r="BE21" s="278"/>
      <c r="BF21" s="278"/>
      <c r="BG21" s="278"/>
      <c r="BH21" s="278"/>
      <c r="BI21" s="278"/>
      <c r="BJ21" s="278"/>
      <c r="BK21" s="278"/>
      <c r="BL21" s="278"/>
      <c r="BM21" s="278"/>
      <c r="BN21" s="278"/>
      <c r="BO21" s="278"/>
      <c r="BP21" s="278"/>
      <c r="BQ21" s="278"/>
      <c r="BR21" s="278"/>
      <c r="BS21" s="278"/>
      <c r="BT21" s="278"/>
      <c r="BU21" s="278"/>
      <c r="BV21" s="278"/>
      <c r="BW21" s="278"/>
      <c r="BX21" s="278"/>
    </row>
    <row r="22" spans="1:76" x14ac:dyDescent="0.35">
      <c r="A22" s="278"/>
      <c r="B22" s="278"/>
      <c r="C22" s="278"/>
      <c r="D22" s="278"/>
      <c r="E22" s="278"/>
      <c r="F22" s="278"/>
      <c r="G22" s="278"/>
      <c r="H22" s="278"/>
      <c r="I22" s="278"/>
      <c r="J22" s="278"/>
      <c r="K22" s="278"/>
      <c r="L22" s="278"/>
      <c r="M22" s="278"/>
      <c r="N22" s="278"/>
      <c r="O22" s="278"/>
      <c r="P22" s="278"/>
      <c r="Q22" s="278"/>
      <c r="R22" s="278"/>
      <c r="S22" s="278"/>
      <c r="T22" s="278"/>
      <c r="U22" s="278"/>
      <c r="V22" s="278"/>
      <c r="W22" s="278"/>
      <c r="X22" s="278"/>
      <c r="Y22" s="278"/>
      <c r="Z22" s="278"/>
      <c r="AA22" s="278"/>
      <c r="AB22" s="278"/>
      <c r="AC22" s="278"/>
      <c r="AD22" s="278"/>
      <c r="AE22" s="278"/>
      <c r="AF22" s="278"/>
      <c r="AG22" s="278"/>
      <c r="AH22" s="278"/>
      <c r="AI22" s="278"/>
      <c r="AJ22" s="278"/>
      <c r="AK22" s="278"/>
      <c r="AL22" s="278"/>
      <c r="AM22" s="278"/>
      <c r="AN22" s="278"/>
      <c r="AO22" s="278"/>
      <c r="AP22" s="278"/>
      <c r="AQ22" s="278"/>
      <c r="AR22" s="278"/>
      <c r="AS22" s="278"/>
      <c r="AT22" s="278"/>
      <c r="AU22" s="278"/>
      <c r="AV22" s="278"/>
      <c r="AW22" s="278"/>
      <c r="AX22" s="278"/>
      <c r="AY22" s="278"/>
      <c r="AZ22" s="278"/>
      <c r="BA22" s="278"/>
      <c r="BB22" s="278"/>
      <c r="BC22" s="278"/>
      <c r="BD22" s="278"/>
      <c r="BE22" s="278"/>
      <c r="BF22" s="278"/>
      <c r="BG22" s="278"/>
      <c r="BH22" s="278"/>
      <c r="BI22" s="278"/>
      <c r="BJ22" s="278"/>
      <c r="BK22" s="278"/>
      <c r="BL22" s="278"/>
      <c r="BM22" s="278"/>
      <c r="BN22" s="278"/>
      <c r="BO22" s="278"/>
      <c r="BP22" s="278"/>
      <c r="BQ22" s="278"/>
      <c r="BR22" s="278"/>
      <c r="BS22" s="278"/>
      <c r="BT22" s="278"/>
      <c r="BU22" s="278"/>
      <c r="BV22" s="278"/>
      <c r="BW22" s="278"/>
      <c r="BX22" s="278"/>
    </row>
    <row r="23" spans="1:76" x14ac:dyDescent="0.35">
      <c r="A23" s="278"/>
      <c r="B23" s="278"/>
      <c r="C23" s="278"/>
      <c r="D23" s="278"/>
      <c r="E23" s="278"/>
      <c r="F23" s="278"/>
      <c r="G23" s="278"/>
      <c r="H23" s="278"/>
      <c r="I23" s="278"/>
      <c r="J23" s="278"/>
      <c r="K23" s="278"/>
      <c r="L23" s="278"/>
      <c r="M23" s="278"/>
      <c r="N23" s="278"/>
      <c r="O23" s="278"/>
      <c r="P23" s="278"/>
      <c r="Q23" s="278"/>
      <c r="R23" s="278"/>
      <c r="S23" s="278"/>
      <c r="T23" s="278"/>
      <c r="U23" s="278"/>
      <c r="V23" s="278"/>
      <c r="W23" s="278"/>
      <c r="X23" s="278"/>
      <c r="Y23" s="278"/>
      <c r="Z23" s="278"/>
      <c r="AA23" s="278"/>
      <c r="AB23" s="278"/>
      <c r="AC23" s="278"/>
      <c r="AD23" s="278"/>
      <c r="AE23" s="278"/>
      <c r="AF23" s="278"/>
      <c r="AG23" s="278"/>
      <c r="AH23" s="278"/>
      <c r="AI23" s="278"/>
      <c r="AJ23" s="278"/>
      <c r="AK23" s="278"/>
      <c r="AL23" s="278"/>
      <c r="AM23" s="278"/>
      <c r="AN23" s="278"/>
      <c r="AO23" s="278"/>
      <c r="AP23" s="278"/>
      <c r="AQ23" s="278"/>
      <c r="AR23" s="278"/>
      <c r="AS23" s="278"/>
      <c r="AT23" s="278"/>
      <c r="AU23" s="278"/>
      <c r="AV23" s="278"/>
      <c r="AW23" s="278"/>
      <c r="AX23" s="278"/>
      <c r="AY23" s="278"/>
      <c r="AZ23" s="278"/>
      <c r="BA23" s="278"/>
      <c r="BB23" s="278"/>
      <c r="BC23" s="278"/>
      <c r="BD23" s="278"/>
      <c r="BE23" s="278"/>
      <c r="BF23" s="278"/>
      <c r="BG23" s="278"/>
      <c r="BH23" s="278"/>
      <c r="BI23" s="278"/>
      <c r="BJ23" s="278"/>
      <c r="BK23" s="278"/>
      <c r="BL23" s="278"/>
      <c r="BM23" s="278"/>
      <c r="BN23" s="278"/>
      <c r="BO23" s="278"/>
      <c r="BP23" s="278"/>
      <c r="BQ23" s="278"/>
      <c r="BR23" s="278"/>
      <c r="BS23" s="278"/>
      <c r="BT23" s="278"/>
      <c r="BU23" s="278"/>
      <c r="BV23" s="278"/>
      <c r="BW23" s="278"/>
      <c r="BX23" s="278"/>
    </row>
    <row r="24" spans="1:76" x14ac:dyDescent="0.35">
      <c r="A24" s="278"/>
      <c r="B24" s="278"/>
      <c r="C24" s="278"/>
      <c r="D24" s="278"/>
      <c r="E24" s="278"/>
      <c r="F24" s="278"/>
      <c r="G24" s="278"/>
      <c r="H24" s="278"/>
      <c r="I24" s="278"/>
      <c r="J24" s="278"/>
      <c r="K24" s="278"/>
      <c r="L24" s="278"/>
      <c r="M24" s="278"/>
      <c r="N24" s="278"/>
      <c r="O24" s="278"/>
      <c r="P24" s="278"/>
      <c r="Q24" s="278"/>
      <c r="R24" s="278"/>
      <c r="S24" s="278"/>
      <c r="T24" s="278"/>
      <c r="U24" s="278"/>
      <c r="V24" s="278"/>
      <c r="W24" s="278"/>
      <c r="X24" s="278"/>
      <c r="Y24" s="278"/>
      <c r="Z24" s="278"/>
      <c r="AA24" s="278"/>
      <c r="AB24" s="278"/>
      <c r="AC24" s="278"/>
      <c r="AD24" s="278"/>
      <c r="AE24" s="278"/>
      <c r="AF24" s="278"/>
      <c r="AG24" s="278"/>
      <c r="AH24" s="278"/>
      <c r="AI24" s="278"/>
      <c r="AJ24" s="278"/>
      <c r="AK24" s="278"/>
      <c r="AL24" s="278"/>
      <c r="AM24" s="278"/>
      <c r="AN24" s="278"/>
      <c r="AO24" s="278"/>
      <c r="AP24" s="278"/>
      <c r="AQ24" s="278"/>
      <c r="AR24" s="278"/>
      <c r="AS24" s="278"/>
      <c r="AT24" s="278"/>
      <c r="AU24" s="278"/>
      <c r="AV24" s="278"/>
      <c r="AW24" s="278"/>
      <c r="AX24" s="278"/>
      <c r="AY24" s="278"/>
      <c r="AZ24" s="278"/>
      <c r="BA24" s="278"/>
      <c r="BB24" s="278"/>
      <c r="BC24" s="278"/>
      <c r="BD24" s="278"/>
      <c r="BE24" s="278"/>
      <c r="BF24" s="278"/>
      <c r="BG24" s="278"/>
      <c r="BH24" s="278"/>
      <c r="BI24" s="278"/>
      <c r="BJ24" s="278"/>
      <c r="BK24" s="278"/>
      <c r="BL24" s="278"/>
      <c r="BM24" s="278"/>
      <c r="BN24" s="278"/>
      <c r="BO24" s="278"/>
      <c r="BP24" s="278"/>
      <c r="BQ24" s="278"/>
      <c r="BR24" s="278"/>
      <c r="BS24" s="278"/>
      <c r="BT24" s="278"/>
      <c r="BU24" s="278"/>
      <c r="BV24" s="278"/>
      <c r="BW24" s="278"/>
      <c r="BX24" s="278"/>
    </row>
    <row r="25" spans="1:76" x14ac:dyDescent="0.35">
      <c r="A25" s="278"/>
      <c r="B25" s="278"/>
      <c r="C25" s="278"/>
      <c r="D25" s="278"/>
      <c r="E25" s="278"/>
      <c r="F25" s="278"/>
      <c r="G25" s="278"/>
      <c r="H25" s="278"/>
      <c r="I25" s="278"/>
      <c r="J25" s="278"/>
      <c r="K25" s="278"/>
      <c r="L25" s="278"/>
      <c r="M25" s="278"/>
      <c r="N25" s="278"/>
      <c r="O25" s="278"/>
      <c r="P25" s="278"/>
      <c r="Q25" s="278"/>
      <c r="R25" s="278"/>
      <c r="S25" s="278"/>
      <c r="T25" s="278"/>
      <c r="U25" s="278"/>
      <c r="V25" s="278"/>
      <c r="W25" s="278"/>
      <c r="X25" s="278"/>
      <c r="Y25" s="278"/>
      <c r="Z25" s="278"/>
      <c r="AA25" s="278"/>
      <c r="AB25" s="278"/>
      <c r="AC25" s="278"/>
      <c r="AD25" s="278"/>
      <c r="AE25" s="278"/>
      <c r="AF25" s="278"/>
      <c r="AG25" s="278"/>
      <c r="AH25" s="278"/>
      <c r="AI25" s="278"/>
      <c r="AJ25" s="278"/>
      <c r="AK25" s="278"/>
      <c r="AL25" s="278"/>
      <c r="AM25" s="278"/>
      <c r="AN25" s="278"/>
      <c r="AO25" s="278"/>
      <c r="AP25" s="278"/>
      <c r="AQ25" s="278"/>
      <c r="AR25" s="278"/>
      <c r="AS25" s="278"/>
      <c r="AT25" s="278"/>
      <c r="AU25" s="278"/>
      <c r="AV25" s="278"/>
      <c r="AW25" s="278"/>
      <c r="AX25" s="278"/>
      <c r="AY25" s="278"/>
      <c r="AZ25" s="278"/>
      <c r="BA25" s="278"/>
      <c r="BB25" s="278"/>
      <c r="BC25" s="278"/>
      <c r="BD25" s="278"/>
      <c r="BE25" s="278"/>
      <c r="BF25" s="278"/>
      <c r="BG25" s="278"/>
      <c r="BH25" s="278"/>
      <c r="BI25" s="278"/>
      <c r="BJ25" s="278"/>
      <c r="BK25" s="278"/>
      <c r="BL25" s="278"/>
      <c r="BM25" s="278"/>
      <c r="BN25" s="278"/>
      <c r="BO25" s="278"/>
      <c r="BP25" s="278"/>
      <c r="BQ25" s="278"/>
      <c r="BR25" s="278"/>
      <c r="BS25" s="278"/>
      <c r="BT25" s="278"/>
      <c r="BU25" s="278"/>
      <c r="BV25" s="278"/>
      <c r="BW25" s="278"/>
      <c r="BX25" s="278"/>
    </row>
    <row r="26" spans="1:76" x14ac:dyDescent="0.35">
      <c r="A26" s="278"/>
      <c r="B26" s="278"/>
      <c r="C26" s="278"/>
      <c r="D26" s="278"/>
      <c r="E26" s="278"/>
      <c r="F26" s="278"/>
      <c r="G26" s="278"/>
      <c r="H26" s="278"/>
      <c r="I26" s="278"/>
      <c r="J26" s="278"/>
      <c r="K26" s="278"/>
      <c r="L26" s="278"/>
      <c r="M26" s="278"/>
      <c r="N26" s="278"/>
      <c r="O26" s="278"/>
      <c r="P26" s="278"/>
      <c r="Q26" s="278"/>
      <c r="R26" s="278"/>
      <c r="S26" s="278"/>
      <c r="T26" s="278"/>
      <c r="U26" s="278"/>
      <c r="V26" s="278"/>
      <c r="W26" s="278"/>
      <c r="X26" s="278"/>
      <c r="Y26" s="278"/>
      <c r="Z26" s="278"/>
      <c r="AA26" s="278"/>
      <c r="AB26" s="278"/>
      <c r="AC26" s="278"/>
      <c r="AD26" s="278"/>
      <c r="AE26" s="278"/>
      <c r="AF26" s="278"/>
      <c r="AG26" s="278"/>
      <c r="AH26" s="278"/>
      <c r="AI26" s="278"/>
      <c r="AJ26" s="278"/>
      <c r="AK26" s="278"/>
      <c r="AL26" s="278"/>
      <c r="AM26" s="278"/>
      <c r="AN26" s="278"/>
      <c r="AO26" s="278"/>
      <c r="AP26" s="278"/>
      <c r="AQ26" s="278"/>
      <c r="AR26" s="278"/>
      <c r="AS26" s="278"/>
      <c r="AT26" s="278"/>
      <c r="AU26" s="278"/>
      <c r="AV26" s="278"/>
      <c r="AW26" s="278"/>
      <c r="AX26" s="278"/>
      <c r="AY26" s="278"/>
      <c r="AZ26" s="278"/>
      <c r="BA26" s="278"/>
      <c r="BB26" s="278"/>
      <c r="BC26" s="278"/>
      <c r="BD26" s="278"/>
      <c r="BE26" s="278"/>
      <c r="BF26" s="278"/>
      <c r="BG26" s="278"/>
      <c r="BH26" s="278"/>
      <c r="BI26" s="278"/>
      <c r="BJ26" s="278"/>
      <c r="BK26" s="278"/>
      <c r="BL26" s="278"/>
      <c r="BM26" s="278"/>
      <c r="BN26" s="278"/>
      <c r="BO26" s="278"/>
      <c r="BP26" s="278"/>
      <c r="BQ26" s="278"/>
      <c r="BR26" s="278"/>
      <c r="BS26" s="278"/>
      <c r="BT26" s="278"/>
      <c r="BU26" s="278"/>
      <c r="BV26" s="278"/>
      <c r="BW26" s="278"/>
      <c r="BX26" s="278"/>
    </row>
    <row r="27" spans="1:76" x14ac:dyDescent="0.35">
      <c r="A27" s="278"/>
      <c r="B27" s="278"/>
      <c r="C27" s="278"/>
      <c r="D27" s="278"/>
      <c r="E27" s="278"/>
      <c r="F27" s="278"/>
      <c r="G27" s="278"/>
      <c r="H27" s="278"/>
      <c r="I27" s="278"/>
      <c r="J27" s="278"/>
      <c r="K27" s="278"/>
      <c r="L27" s="278"/>
      <c r="M27" s="278"/>
      <c r="N27" s="278"/>
      <c r="O27" s="278"/>
      <c r="P27" s="278"/>
      <c r="Q27" s="278"/>
      <c r="R27" s="278"/>
      <c r="S27" s="278"/>
      <c r="T27" s="278"/>
      <c r="U27" s="278"/>
      <c r="V27" s="278"/>
      <c r="W27" s="278"/>
      <c r="X27" s="278"/>
      <c r="Y27" s="278"/>
      <c r="Z27" s="278"/>
      <c r="AA27" s="278"/>
      <c r="AB27" s="278"/>
      <c r="AC27" s="278"/>
      <c r="AD27" s="278"/>
      <c r="AE27" s="278"/>
      <c r="AF27" s="278"/>
      <c r="AG27" s="278"/>
      <c r="AH27" s="278"/>
      <c r="AI27" s="278"/>
      <c r="AJ27" s="278"/>
      <c r="AK27" s="278"/>
      <c r="AL27" s="278"/>
      <c r="AM27" s="278"/>
      <c r="AN27" s="278"/>
      <c r="AO27" s="278"/>
      <c r="AP27" s="278"/>
      <c r="AQ27" s="278"/>
      <c r="AR27" s="278"/>
      <c r="AS27" s="278"/>
      <c r="AT27" s="278"/>
      <c r="AU27" s="278"/>
      <c r="AV27" s="278"/>
      <c r="AW27" s="278"/>
      <c r="AX27" s="278"/>
      <c r="AY27" s="278"/>
      <c r="AZ27" s="278"/>
      <c r="BA27" s="278"/>
      <c r="BB27" s="278"/>
      <c r="BC27" s="278"/>
      <c r="BD27" s="278"/>
      <c r="BE27" s="278"/>
      <c r="BF27" s="278"/>
      <c r="BG27" s="278"/>
      <c r="BH27" s="278"/>
      <c r="BI27" s="278"/>
      <c r="BJ27" s="278"/>
      <c r="BK27" s="278"/>
      <c r="BL27" s="278"/>
      <c r="BM27" s="278"/>
      <c r="BN27" s="278"/>
      <c r="BO27" s="278"/>
      <c r="BP27" s="278"/>
      <c r="BQ27" s="278"/>
      <c r="BR27" s="278"/>
      <c r="BS27" s="278"/>
      <c r="BT27" s="278"/>
      <c r="BU27" s="278"/>
      <c r="BV27" s="278"/>
      <c r="BW27" s="278"/>
      <c r="BX27" s="278"/>
    </row>
    <row r="28" spans="1:76" x14ac:dyDescent="0.35">
      <c r="A28" s="278"/>
      <c r="B28" s="278"/>
      <c r="C28" s="278"/>
      <c r="D28" s="278"/>
      <c r="E28" s="278"/>
      <c r="F28" s="278"/>
      <c r="G28" s="278"/>
      <c r="H28" s="278"/>
      <c r="I28" s="278"/>
      <c r="J28" s="278"/>
      <c r="K28" s="278"/>
      <c r="L28" s="278"/>
      <c r="M28" s="278"/>
      <c r="N28" s="278"/>
      <c r="O28" s="278"/>
      <c r="P28" s="278"/>
      <c r="Q28" s="278"/>
      <c r="R28" s="278"/>
      <c r="S28" s="278"/>
      <c r="T28" s="278"/>
      <c r="U28" s="278"/>
      <c r="V28" s="278"/>
      <c r="W28" s="278"/>
      <c r="X28" s="278"/>
      <c r="Y28" s="278"/>
      <c r="Z28" s="278"/>
      <c r="AA28" s="278"/>
      <c r="AB28" s="278"/>
      <c r="AC28" s="278"/>
      <c r="AD28" s="278"/>
      <c r="AE28" s="278"/>
      <c r="AF28" s="278"/>
      <c r="AG28" s="278"/>
      <c r="AH28" s="278"/>
      <c r="AI28" s="278"/>
      <c r="AJ28" s="278"/>
      <c r="AK28" s="278"/>
      <c r="AL28" s="278"/>
      <c r="AM28" s="278"/>
      <c r="AN28" s="278"/>
      <c r="AO28" s="278"/>
      <c r="AP28" s="278"/>
      <c r="AQ28" s="278"/>
      <c r="AR28" s="278"/>
      <c r="AS28" s="278"/>
      <c r="AT28" s="278"/>
      <c r="AU28" s="278"/>
      <c r="AV28" s="278"/>
      <c r="AW28" s="278"/>
      <c r="AX28" s="278"/>
      <c r="AY28" s="278"/>
      <c r="AZ28" s="278"/>
      <c r="BA28" s="278"/>
      <c r="BB28" s="278"/>
      <c r="BC28" s="278"/>
      <c r="BD28" s="278"/>
      <c r="BE28" s="278"/>
      <c r="BF28" s="278"/>
      <c r="BG28" s="278"/>
      <c r="BH28" s="278"/>
      <c r="BI28" s="278"/>
      <c r="BJ28" s="278"/>
      <c r="BK28" s="278"/>
      <c r="BL28" s="278"/>
      <c r="BM28" s="278"/>
      <c r="BN28" s="278"/>
      <c r="BO28" s="278"/>
      <c r="BP28" s="278"/>
      <c r="BQ28" s="278"/>
      <c r="BR28" s="278"/>
      <c r="BS28" s="278"/>
      <c r="BT28" s="278"/>
      <c r="BU28" s="278"/>
      <c r="BV28" s="278"/>
      <c r="BW28" s="278"/>
      <c r="BX28" s="278"/>
    </row>
    <row r="29" spans="1:76" x14ac:dyDescent="0.35">
      <c r="A29" s="278"/>
      <c r="B29" s="278"/>
      <c r="C29" s="278"/>
      <c r="D29" s="278"/>
      <c r="E29" s="278"/>
      <c r="F29" s="278"/>
      <c r="G29" s="278"/>
      <c r="H29" s="278"/>
      <c r="I29" s="278"/>
      <c r="J29" s="278"/>
      <c r="K29" s="278"/>
      <c r="L29" s="278"/>
      <c r="M29" s="278"/>
      <c r="N29" s="278"/>
      <c r="O29" s="278"/>
      <c r="P29" s="278"/>
      <c r="Q29" s="278"/>
      <c r="R29" s="278"/>
      <c r="S29" s="278"/>
      <c r="T29" s="278"/>
      <c r="U29" s="278"/>
      <c r="V29" s="278"/>
      <c r="W29" s="278"/>
      <c r="X29" s="278"/>
      <c r="Y29" s="278"/>
      <c r="Z29" s="278"/>
      <c r="AA29" s="278"/>
      <c r="AB29" s="278"/>
      <c r="AC29" s="278"/>
      <c r="AD29" s="278"/>
      <c r="AE29" s="278"/>
      <c r="AF29" s="278"/>
      <c r="AG29" s="278"/>
      <c r="AH29" s="278"/>
      <c r="AI29" s="278"/>
      <c r="AJ29" s="278"/>
      <c r="AK29" s="278"/>
      <c r="AL29" s="278"/>
      <c r="AM29" s="278"/>
      <c r="AN29" s="278"/>
      <c r="AO29" s="278"/>
      <c r="AP29" s="278"/>
      <c r="AQ29" s="278"/>
      <c r="AR29" s="278"/>
      <c r="AS29" s="278"/>
      <c r="AT29" s="278"/>
      <c r="AU29" s="278"/>
      <c r="AV29" s="278"/>
      <c r="AW29" s="278"/>
      <c r="AX29" s="278"/>
      <c r="AY29" s="278"/>
      <c r="AZ29" s="278"/>
      <c r="BA29" s="278"/>
      <c r="BB29" s="278"/>
      <c r="BC29" s="278"/>
      <c r="BD29" s="278"/>
      <c r="BE29" s="278"/>
      <c r="BF29" s="278"/>
      <c r="BG29" s="278"/>
      <c r="BH29" s="278"/>
      <c r="BI29" s="278"/>
      <c r="BJ29" s="278"/>
      <c r="BK29" s="278"/>
      <c r="BL29" s="278"/>
      <c r="BM29" s="278"/>
      <c r="BN29" s="278"/>
      <c r="BO29" s="278"/>
      <c r="BP29" s="278"/>
      <c r="BQ29" s="278"/>
      <c r="BR29" s="278"/>
      <c r="BS29" s="278"/>
      <c r="BT29" s="278"/>
      <c r="BU29" s="278"/>
      <c r="BV29" s="278"/>
      <c r="BW29" s="278"/>
      <c r="BX29" s="278"/>
    </row>
    <row r="30" spans="1:76" x14ac:dyDescent="0.35">
      <c r="A30" s="278"/>
      <c r="B30" s="278"/>
      <c r="C30" s="278"/>
      <c r="D30" s="278"/>
      <c r="E30" s="278"/>
      <c r="F30" s="278"/>
      <c r="G30" s="278"/>
      <c r="H30" s="278"/>
      <c r="I30" s="278"/>
      <c r="J30" s="278"/>
      <c r="K30" s="278"/>
      <c r="L30" s="278"/>
      <c r="M30" s="278"/>
      <c r="N30" s="278"/>
      <c r="O30" s="278"/>
      <c r="P30" s="278"/>
      <c r="Q30" s="278"/>
      <c r="R30" s="278"/>
      <c r="S30" s="278"/>
      <c r="T30" s="278"/>
      <c r="U30" s="278"/>
      <c r="V30" s="278"/>
      <c r="W30" s="278"/>
      <c r="X30" s="278"/>
      <c r="Y30" s="278"/>
      <c r="Z30" s="278"/>
      <c r="AA30" s="278"/>
      <c r="AB30" s="278"/>
      <c r="AC30" s="278"/>
      <c r="AD30" s="278"/>
      <c r="AE30" s="278"/>
      <c r="AF30" s="278"/>
      <c r="AG30" s="278"/>
      <c r="AH30" s="278"/>
      <c r="AI30" s="278"/>
      <c r="AJ30" s="278"/>
      <c r="AK30" s="278"/>
      <c r="AL30" s="278"/>
      <c r="AM30" s="278"/>
      <c r="AN30" s="278"/>
      <c r="AO30" s="278"/>
      <c r="AP30" s="278"/>
      <c r="AQ30" s="278"/>
      <c r="AR30" s="278"/>
      <c r="AS30" s="278"/>
      <c r="AT30" s="278"/>
      <c r="AU30" s="278"/>
      <c r="AV30" s="278"/>
      <c r="AW30" s="278"/>
      <c r="AX30" s="278"/>
      <c r="AY30" s="278"/>
      <c r="AZ30" s="278"/>
      <c r="BA30" s="278"/>
      <c r="BB30" s="278"/>
      <c r="BC30" s="278"/>
      <c r="BD30" s="278"/>
      <c r="BE30" s="278"/>
      <c r="BF30" s="278"/>
      <c r="BG30" s="278"/>
      <c r="BH30" s="278"/>
      <c r="BI30" s="278"/>
      <c r="BJ30" s="278"/>
      <c r="BK30" s="278"/>
      <c r="BL30" s="278"/>
      <c r="BM30" s="278"/>
      <c r="BN30" s="278"/>
      <c r="BO30" s="278"/>
      <c r="BP30" s="278"/>
      <c r="BQ30" s="278"/>
      <c r="BR30" s="278"/>
      <c r="BS30" s="278"/>
      <c r="BT30" s="278"/>
      <c r="BU30" s="278"/>
      <c r="BV30" s="278"/>
      <c r="BW30" s="278"/>
      <c r="BX30" s="278"/>
    </row>
    <row r="31" spans="1:76" x14ac:dyDescent="0.35">
      <c r="A31" s="278"/>
      <c r="B31" s="278"/>
      <c r="C31" s="278"/>
      <c r="D31" s="278"/>
      <c r="E31" s="278"/>
      <c r="F31" s="278"/>
      <c r="G31" s="278"/>
      <c r="H31" s="278"/>
      <c r="I31" s="278"/>
      <c r="J31" s="278"/>
      <c r="K31" s="278"/>
      <c r="L31" s="278"/>
      <c r="M31" s="278"/>
      <c r="N31" s="278"/>
      <c r="O31" s="278"/>
      <c r="P31" s="278"/>
      <c r="Q31" s="278"/>
      <c r="R31" s="278"/>
      <c r="S31" s="278"/>
      <c r="T31" s="278"/>
      <c r="U31" s="278"/>
      <c r="V31" s="278"/>
      <c r="W31" s="278"/>
      <c r="X31" s="278"/>
      <c r="Y31" s="278"/>
      <c r="Z31" s="278"/>
      <c r="AA31" s="278"/>
      <c r="AB31" s="278"/>
      <c r="AC31" s="278"/>
      <c r="AD31" s="278"/>
      <c r="AE31" s="278"/>
      <c r="AF31" s="278"/>
      <c r="AG31" s="278"/>
      <c r="AH31" s="278"/>
      <c r="AI31" s="278"/>
      <c r="AJ31" s="278"/>
      <c r="AK31" s="278"/>
      <c r="AL31" s="278"/>
      <c r="AM31" s="278"/>
      <c r="AN31" s="278"/>
      <c r="AO31" s="278"/>
      <c r="AP31" s="278"/>
      <c r="AQ31" s="278"/>
      <c r="AR31" s="278"/>
      <c r="AS31" s="278"/>
      <c r="AT31" s="278"/>
      <c r="AU31" s="278"/>
      <c r="AV31" s="278"/>
      <c r="AW31" s="278"/>
      <c r="AX31" s="278"/>
      <c r="AY31" s="278"/>
      <c r="AZ31" s="278"/>
      <c r="BA31" s="278"/>
      <c r="BB31" s="278"/>
      <c r="BC31" s="278"/>
      <c r="BD31" s="278"/>
      <c r="BE31" s="278"/>
      <c r="BF31" s="278"/>
      <c r="BG31" s="278"/>
      <c r="BH31" s="278"/>
      <c r="BI31" s="278"/>
      <c r="BJ31" s="278"/>
      <c r="BK31" s="278"/>
      <c r="BL31" s="278"/>
      <c r="BM31" s="278"/>
      <c r="BN31" s="278"/>
      <c r="BO31" s="278"/>
      <c r="BP31" s="278"/>
      <c r="BQ31" s="278"/>
      <c r="BR31" s="278"/>
      <c r="BS31" s="278"/>
      <c r="BT31" s="278"/>
      <c r="BU31" s="278"/>
      <c r="BV31" s="278"/>
      <c r="BW31" s="278"/>
      <c r="BX31" s="278"/>
    </row>
    <row r="32" spans="1:76" x14ac:dyDescent="0.35">
      <c r="A32" s="278"/>
      <c r="B32" s="278"/>
      <c r="C32" s="278"/>
      <c r="D32" s="278"/>
      <c r="E32" s="278"/>
      <c r="F32" s="278"/>
      <c r="G32" s="278"/>
      <c r="H32" s="278"/>
      <c r="I32" s="278"/>
      <c r="J32" s="278"/>
      <c r="K32" s="278"/>
      <c r="L32" s="278"/>
      <c r="M32" s="278"/>
      <c r="N32" s="278"/>
      <c r="O32" s="278"/>
      <c r="P32" s="278"/>
      <c r="Q32" s="278"/>
      <c r="R32" s="278"/>
      <c r="S32" s="278"/>
      <c r="T32" s="278"/>
      <c r="U32" s="278"/>
      <c r="V32" s="278"/>
      <c r="W32" s="278"/>
      <c r="X32" s="278"/>
      <c r="Y32" s="278"/>
      <c r="Z32" s="278"/>
      <c r="AA32" s="278"/>
      <c r="AB32" s="278"/>
      <c r="AC32" s="278"/>
      <c r="AD32" s="278"/>
      <c r="AE32" s="278"/>
      <c r="AF32" s="278"/>
      <c r="AG32" s="278"/>
      <c r="AH32" s="278"/>
      <c r="AI32" s="278"/>
      <c r="AJ32" s="278"/>
      <c r="AK32" s="278"/>
      <c r="AL32" s="278"/>
      <c r="AM32" s="278"/>
      <c r="AN32" s="278"/>
      <c r="AO32" s="278"/>
      <c r="AP32" s="278"/>
      <c r="AQ32" s="278"/>
      <c r="AR32" s="278"/>
      <c r="AS32" s="278"/>
      <c r="AT32" s="278"/>
      <c r="AU32" s="278"/>
      <c r="AV32" s="278"/>
      <c r="AW32" s="278"/>
      <c r="AX32" s="278"/>
      <c r="AY32" s="278"/>
      <c r="AZ32" s="278"/>
      <c r="BA32" s="278"/>
      <c r="BB32" s="278"/>
      <c r="BC32" s="278"/>
      <c r="BD32" s="278"/>
      <c r="BE32" s="278"/>
      <c r="BF32" s="278"/>
      <c r="BG32" s="278"/>
      <c r="BH32" s="278"/>
      <c r="BI32" s="278"/>
      <c r="BJ32" s="278"/>
      <c r="BK32" s="278"/>
      <c r="BL32" s="278"/>
      <c r="BM32" s="278"/>
      <c r="BN32" s="278"/>
      <c r="BO32" s="278"/>
      <c r="BP32" s="278"/>
      <c r="BQ32" s="278"/>
      <c r="BR32" s="278"/>
      <c r="BS32" s="278"/>
      <c r="BT32" s="278"/>
      <c r="BU32" s="278"/>
      <c r="BV32" s="278"/>
      <c r="BW32" s="278"/>
      <c r="BX32" s="278"/>
    </row>
    <row r="33" spans="1:76" x14ac:dyDescent="0.35">
      <c r="A33" s="278"/>
      <c r="B33" s="278"/>
      <c r="C33" s="278"/>
      <c r="D33" s="278"/>
      <c r="E33" s="278"/>
      <c r="F33" s="278"/>
      <c r="G33" s="278"/>
      <c r="H33" s="278"/>
      <c r="I33" s="278"/>
      <c r="J33" s="278"/>
      <c r="K33" s="278"/>
      <c r="L33" s="278"/>
      <c r="M33" s="278"/>
      <c r="N33" s="278"/>
      <c r="O33" s="278"/>
      <c r="P33" s="278"/>
      <c r="Q33" s="278"/>
      <c r="R33" s="278"/>
      <c r="S33" s="278"/>
      <c r="T33" s="278"/>
      <c r="U33" s="278"/>
      <c r="V33" s="278"/>
      <c r="W33" s="278"/>
      <c r="X33" s="278"/>
      <c r="Y33" s="278"/>
      <c r="Z33" s="278"/>
      <c r="AA33" s="278"/>
      <c r="AB33" s="278"/>
      <c r="AC33" s="278"/>
      <c r="AD33" s="278"/>
      <c r="AE33" s="278"/>
      <c r="AF33" s="278"/>
      <c r="AG33" s="278"/>
      <c r="AH33" s="278"/>
      <c r="AI33" s="278"/>
      <c r="AJ33" s="278"/>
      <c r="AK33" s="278"/>
      <c r="AL33" s="278"/>
      <c r="AM33" s="278"/>
      <c r="AN33" s="278"/>
      <c r="AO33" s="278"/>
      <c r="AP33" s="278"/>
      <c r="AQ33" s="278"/>
      <c r="AR33" s="278"/>
      <c r="AS33" s="278"/>
      <c r="AT33" s="278"/>
      <c r="AU33" s="278"/>
      <c r="AV33" s="278"/>
      <c r="AW33" s="278"/>
      <c r="AX33" s="278"/>
      <c r="AY33" s="278"/>
      <c r="AZ33" s="278"/>
      <c r="BA33" s="278"/>
      <c r="BB33" s="278"/>
      <c r="BC33" s="278"/>
      <c r="BD33" s="278"/>
      <c r="BE33" s="278"/>
      <c r="BF33" s="278"/>
      <c r="BG33" s="278"/>
      <c r="BH33" s="278"/>
      <c r="BI33" s="278"/>
      <c r="BJ33" s="278"/>
      <c r="BK33" s="278"/>
      <c r="BL33" s="278"/>
      <c r="BM33" s="278"/>
      <c r="BN33" s="278"/>
      <c r="BO33" s="278"/>
      <c r="BP33" s="278"/>
      <c r="BQ33" s="278"/>
      <c r="BR33" s="278"/>
      <c r="BS33" s="278"/>
      <c r="BT33" s="278"/>
      <c r="BU33" s="278"/>
      <c r="BV33" s="278"/>
      <c r="BW33" s="278"/>
      <c r="BX33" s="278"/>
    </row>
    <row r="34" spans="1:76" x14ac:dyDescent="0.35">
      <c r="A34" s="278"/>
      <c r="B34" s="278"/>
      <c r="C34" s="278"/>
      <c r="D34" s="278"/>
      <c r="E34" s="278"/>
      <c r="F34" s="278"/>
      <c r="G34" s="278"/>
      <c r="H34" s="278"/>
      <c r="I34" s="278"/>
      <c r="J34" s="278"/>
      <c r="K34" s="278"/>
      <c r="L34" s="278"/>
      <c r="M34" s="278"/>
      <c r="N34" s="278"/>
      <c r="O34" s="278"/>
      <c r="P34" s="278"/>
      <c r="Q34" s="278"/>
      <c r="R34" s="278"/>
      <c r="S34" s="278"/>
      <c r="T34" s="278"/>
      <c r="U34" s="278"/>
      <c r="V34" s="278"/>
      <c r="W34" s="278"/>
      <c r="X34" s="278"/>
      <c r="Y34" s="278"/>
      <c r="Z34" s="278"/>
      <c r="AA34" s="278"/>
      <c r="AB34" s="278"/>
      <c r="AC34" s="278"/>
      <c r="AD34" s="278"/>
      <c r="AE34" s="278"/>
      <c r="AF34" s="278"/>
      <c r="AG34" s="278"/>
      <c r="AH34" s="278"/>
      <c r="AI34" s="278"/>
      <c r="AJ34" s="278"/>
      <c r="AK34" s="278"/>
      <c r="AL34" s="278"/>
      <c r="AM34" s="278"/>
      <c r="AN34" s="278"/>
      <c r="AO34" s="278"/>
      <c r="AP34" s="278"/>
      <c r="AQ34" s="278"/>
      <c r="AR34" s="278"/>
      <c r="AS34" s="278"/>
      <c r="AT34" s="278"/>
      <c r="AU34" s="278"/>
      <c r="AV34" s="278"/>
      <c r="AW34" s="278"/>
      <c r="AX34" s="278"/>
      <c r="AY34" s="278"/>
      <c r="AZ34" s="278"/>
      <c r="BA34" s="278"/>
      <c r="BB34" s="278"/>
      <c r="BC34" s="278"/>
      <c r="BD34" s="278"/>
      <c r="BE34" s="278"/>
      <c r="BF34" s="278"/>
      <c r="BG34" s="278"/>
      <c r="BH34" s="278"/>
      <c r="BI34" s="278"/>
      <c r="BJ34" s="278"/>
      <c r="BK34" s="278"/>
      <c r="BL34" s="278"/>
      <c r="BM34" s="278"/>
      <c r="BN34" s="278"/>
      <c r="BO34" s="278"/>
      <c r="BP34" s="278"/>
      <c r="BQ34" s="278"/>
      <c r="BR34" s="278"/>
      <c r="BS34" s="278"/>
      <c r="BT34" s="278"/>
      <c r="BU34" s="278"/>
      <c r="BV34" s="278"/>
      <c r="BW34" s="278"/>
      <c r="BX34" s="278"/>
    </row>
    <row r="35" spans="1:76" x14ac:dyDescent="0.35">
      <c r="A35" s="278"/>
      <c r="B35" s="278"/>
      <c r="C35" s="278"/>
      <c r="D35" s="278"/>
      <c r="E35" s="278"/>
      <c r="F35" s="278"/>
      <c r="G35" s="278"/>
      <c r="H35" s="278"/>
      <c r="I35" s="278"/>
      <c r="J35" s="278"/>
      <c r="K35" s="278"/>
      <c r="L35" s="278"/>
      <c r="M35" s="278"/>
      <c r="N35" s="278"/>
      <c r="O35" s="278"/>
      <c r="P35" s="278"/>
      <c r="Q35" s="278"/>
      <c r="R35" s="278"/>
      <c r="S35" s="278"/>
      <c r="T35" s="278"/>
      <c r="U35" s="278"/>
      <c r="V35" s="278"/>
      <c r="W35" s="278"/>
      <c r="X35" s="278"/>
      <c r="Y35" s="278"/>
      <c r="Z35" s="278"/>
      <c r="AA35" s="278"/>
      <c r="AB35" s="278"/>
      <c r="AC35" s="278"/>
      <c r="AD35" s="278"/>
      <c r="AE35" s="278"/>
      <c r="AF35" s="278"/>
      <c r="AG35" s="278"/>
      <c r="AH35" s="278"/>
      <c r="AI35" s="278"/>
      <c r="AJ35" s="278"/>
      <c r="AK35" s="278"/>
      <c r="AL35" s="278"/>
      <c r="AM35" s="278"/>
      <c r="AN35" s="278"/>
      <c r="AO35" s="278"/>
      <c r="AP35" s="278"/>
      <c r="AQ35" s="278"/>
      <c r="AR35" s="278"/>
      <c r="AS35" s="278"/>
      <c r="AT35" s="278"/>
      <c r="AU35" s="278"/>
      <c r="AV35" s="278"/>
      <c r="AW35" s="278"/>
      <c r="AX35" s="278"/>
      <c r="AY35" s="278"/>
      <c r="AZ35" s="278"/>
      <c r="BA35" s="278"/>
      <c r="BB35" s="278"/>
      <c r="BC35" s="278"/>
      <c r="BD35" s="278"/>
      <c r="BE35" s="278"/>
      <c r="BF35" s="278"/>
      <c r="BG35" s="278"/>
      <c r="BH35" s="278"/>
      <c r="BI35" s="278"/>
      <c r="BJ35" s="278"/>
      <c r="BK35" s="278"/>
      <c r="BL35" s="278"/>
      <c r="BM35" s="278"/>
      <c r="BN35" s="278"/>
      <c r="BO35" s="278"/>
      <c r="BP35" s="278"/>
      <c r="BQ35" s="278"/>
      <c r="BR35" s="278"/>
      <c r="BS35" s="278"/>
      <c r="BT35" s="278"/>
      <c r="BU35" s="278"/>
      <c r="BV35" s="278"/>
      <c r="BW35" s="278"/>
      <c r="BX35" s="278"/>
    </row>
    <row r="36" spans="1:76" x14ac:dyDescent="0.35">
      <c r="A36" s="278"/>
      <c r="B36" s="278"/>
      <c r="C36" s="278"/>
      <c r="D36" s="278"/>
      <c r="E36" s="278"/>
      <c r="F36" s="278"/>
      <c r="G36" s="278"/>
      <c r="H36" s="278"/>
      <c r="I36" s="278"/>
      <c r="J36" s="278"/>
      <c r="K36" s="278"/>
      <c r="L36" s="278"/>
      <c r="M36" s="278"/>
      <c r="N36" s="278"/>
      <c r="O36" s="278"/>
      <c r="P36" s="278"/>
      <c r="Q36" s="278"/>
      <c r="R36" s="278"/>
      <c r="S36" s="278"/>
      <c r="T36" s="278"/>
      <c r="U36" s="278"/>
      <c r="V36" s="278"/>
      <c r="W36" s="278"/>
      <c r="X36" s="278"/>
      <c r="Y36" s="278"/>
      <c r="Z36" s="278"/>
      <c r="AA36" s="278"/>
      <c r="AB36" s="278"/>
      <c r="AC36" s="278"/>
      <c r="AD36" s="278"/>
      <c r="AE36" s="278"/>
      <c r="AF36" s="278"/>
      <c r="AG36" s="278"/>
      <c r="AH36" s="278"/>
      <c r="AI36" s="278"/>
      <c r="AJ36" s="278"/>
      <c r="AK36" s="278"/>
      <c r="AL36" s="278"/>
      <c r="AM36" s="278"/>
      <c r="AN36" s="278"/>
      <c r="AO36" s="278"/>
      <c r="AP36" s="278"/>
      <c r="AQ36" s="278"/>
      <c r="AR36" s="278"/>
      <c r="AS36" s="278"/>
      <c r="AT36" s="278"/>
      <c r="AU36" s="278"/>
      <c r="AV36" s="278"/>
      <c r="AW36" s="278"/>
      <c r="AX36" s="278"/>
      <c r="AY36" s="278"/>
      <c r="AZ36" s="278"/>
      <c r="BA36" s="278"/>
      <c r="BB36" s="278"/>
      <c r="BC36" s="278"/>
      <c r="BD36" s="278"/>
      <c r="BE36" s="278"/>
      <c r="BF36" s="278"/>
      <c r="BG36" s="278"/>
      <c r="BH36" s="278"/>
      <c r="BI36" s="278"/>
      <c r="BJ36" s="278"/>
      <c r="BK36" s="278"/>
      <c r="BL36" s="278"/>
      <c r="BM36" s="278"/>
      <c r="BN36" s="278"/>
      <c r="BO36" s="278"/>
      <c r="BP36" s="278"/>
      <c r="BQ36" s="278"/>
      <c r="BR36" s="278"/>
      <c r="BS36" s="278"/>
      <c r="BT36" s="278"/>
      <c r="BU36" s="278"/>
      <c r="BV36" s="278"/>
      <c r="BW36" s="278"/>
      <c r="BX36" s="278"/>
    </row>
    <row r="37" spans="1:76" x14ac:dyDescent="0.35">
      <c r="A37" s="278"/>
      <c r="B37" s="278"/>
      <c r="C37" s="278"/>
      <c r="D37" s="278"/>
      <c r="E37" s="278"/>
      <c r="F37" s="278"/>
      <c r="G37" s="278"/>
      <c r="H37" s="278"/>
      <c r="I37" s="278"/>
      <c r="J37" s="278"/>
      <c r="K37" s="278"/>
      <c r="L37" s="278"/>
      <c r="M37" s="278"/>
      <c r="N37" s="278"/>
      <c r="O37" s="278"/>
      <c r="P37" s="278"/>
      <c r="Q37" s="278"/>
      <c r="R37" s="278"/>
      <c r="S37" s="278"/>
      <c r="T37" s="278"/>
      <c r="U37" s="278"/>
      <c r="V37" s="278"/>
      <c r="W37" s="278"/>
      <c r="X37" s="278"/>
      <c r="Y37" s="278"/>
      <c r="Z37" s="278"/>
      <c r="AA37" s="278"/>
      <c r="AB37" s="278"/>
      <c r="AC37" s="278"/>
      <c r="AD37" s="278"/>
      <c r="AE37" s="278"/>
      <c r="AF37" s="278"/>
      <c r="AG37" s="278"/>
      <c r="AH37" s="278"/>
      <c r="AI37" s="278"/>
      <c r="AJ37" s="278"/>
      <c r="AK37" s="278"/>
      <c r="AL37" s="278"/>
      <c r="AM37" s="278"/>
      <c r="AN37" s="278"/>
      <c r="AO37" s="278"/>
      <c r="AP37" s="278"/>
      <c r="AQ37" s="278"/>
      <c r="AR37" s="278"/>
      <c r="AS37" s="278"/>
      <c r="AT37" s="278"/>
      <c r="AU37" s="278"/>
      <c r="AV37" s="278"/>
      <c r="AW37" s="278"/>
      <c r="AX37" s="278"/>
      <c r="AY37" s="278"/>
      <c r="AZ37" s="278"/>
      <c r="BA37" s="278"/>
      <c r="BB37" s="278"/>
      <c r="BC37" s="278"/>
      <c r="BD37" s="278"/>
      <c r="BE37" s="278"/>
      <c r="BF37" s="278"/>
      <c r="BG37" s="278"/>
      <c r="BH37" s="278"/>
      <c r="BI37" s="278"/>
      <c r="BJ37" s="278"/>
      <c r="BK37" s="278"/>
      <c r="BL37" s="278"/>
      <c r="BM37" s="278"/>
      <c r="BN37" s="278"/>
      <c r="BO37" s="278"/>
      <c r="BP37" s="278"/>
      <c r="BQ37" s="278"/>
      <c r="BR37" s="278"/>
      <c r="BS37" s="278"/>
      <c r="BT37" s="278"/>
      <c r="BU37" s="278"/>
      <c r="BV37" s="278"/>
      <c r="BW37" s="278"/>
      <c r="BX37" s="278"/>
    </row>
    <row r="38" spans="1:76" x14ac:dyDescent="0.35">
      <c r="A38" s="278"/>
      <c r="B38" s="278"/>
      <c r="C38" s="278"/>
      <c r="D38" s="278"/>
      <c r="E38" s="278"/>
      <c r="F38" s="278"/>
      <c r="G38" s="278"/>
      <c r="H38" s="278"/>
      <c r="I38" s="278"/>
      <c r="J38" s="278"/>
      <c r="K38" s="278"/>
      <c r="L38" s="278"/>
      <c r="M38" s="278"/>
      <c r="N38" s="278"/>
      <c r="O38" s="278"/>
      <c r="P38" s="278"/>
      <c r="Q38" s="278"/>
      <c r="R38" s="278"/>
      <c r="S38" s="278"/>
      <c r="T38" s="278"/>
      <c r="U38" s="278"/>
      <c r="V38" s="278"/>
      <c r="W38" s="278"/>
      <c r="X38" s="278"/>
      <c r="Y38" s="278"/>
      <c r="Z38" s="278"/>
      <c r="AA38" s="278"/>
      <c r="AB38" s="278"/>
      <c r="AC38" s="278"/>
      <c r="AD38" s="278"/>
      <c r="AE38" s="278"/>
      <c r="AF38" s="278"/>
      <c r="AG38" s="278"/>
      <c r="AH38" s="278"/>
      <c r="AI38" s="278"/>
      <c r="AJ38" s="278"/>
      <c r="AK38" s="278"/>
      <c r="AL38" s="278"/>
      <c r="AM38" s="278"/>
      <c r="AN38" s="278"/>
      <c r="AO38" s="278"/>
      <c r="AP38" s="278"/>
      <c r="AQ38" s="278"/>
      <c r="AR38" s="278"/>
      <c r="AS38" s="278"/>
      <c r="AT38" s="278"/>
      <c r="AU38" s="278"/>
      <c r="AV38" s="278"/>
      <c r="AW38" s="278"/>
      <c r="AX38" s="278"/>
      <c r="AY38" s="278"/>
      <c r="AZ38" s="278"/>
      <c r="BA38" s="278"/>
      <c r="BB38" s="278"/>
      <c r="BC38" s="278"/>
      <c r="BD38" s="278"/>
      <c r="BE38" s="278"/>
      <c r="BF38" s="278"/>
      <c r="BG38" s="278"/>
      <c r="BH38" s="278"/>
      <c r="BI38" s="278"/>
      <c r="BJ38" s="278"/>
      <c r="BK38" s="278"/>
      <c r="BL38" s="278"/>
      <c r="BM38" s="278"/>
      <c r="BN38" s="278"/>
      <c r="BO38" s="278"/>
      <c r="BP38" s="278"/>
      <c r="BQ38" s="278"/>
      <c r="BR38" s="278"/>
      <c r="BS38" s="278"/>
      <c r="BT38" s="278"/>
      <c r="BU38" s="278"/>
      <c r="BV38" s="278"/>
      <c r="BW38" s="278"/>
      <c r="BX38" s="278"/>
    </row>
    <row r="39" spans="1:76" x14ac:dyDescent="0.35">
      <c r="A39" s="278"/>
      <c r="B39" s="278"/>
      <c r="C39" s="278"/>
      <c r="D39" s="278"/>
      <c r="E39" s="278"/>
      <c r="F39" s="278"/>
      <c r="G39" s="278"/>
      <c r="H39" s="278"/>
      <c r="I39" s="278"/>
      <c r="J39" s="278"/>
      <c r="K39" s="278"/>
      <c r="L39" s="278"/>
      <c r="M39" s="278"/>
      <c r="N39" s="278"/>
      <c r="O39" s="278"/>
      <c r="P39" s="278"/>
      <c r="Q39" s="278"/>
      <c r="R39" s="278"/>
      <c r="S39" s="278"/>
      <c r="T39" s="278"/>
      <c r="U39" s="278"/>
      <c r="V39" s="278"/>
      <c r="W39" s="278"/>
      <c r="X39" s="278"/>
      <c r="Y39" s="278"/>
      <c r="Z39" s="278"/>
      <c r="AA39" s="278"/>
      <c r="AB39" s="278"/>
      <c r="AC39" s="278"/>
      <c r="AD39" s="278"/>
      <c r="AE39" s="278"/>
      <c r="AF39" s="278"/>
      <c r="AG39" s="278"/>
      <c r="AH39" s="278"/>
      <c r="AI39" s="278"/>
      <c r="AJ39" s="278"/>
      <c r="AK39" s="278"/>
      <c r="AL39" s="278"/>
      <c r="AM39" s="278"/>
      <c r="AN39" s="278"/>
      <c r="AO39" s="278"/>
      <c r="AP39" s="278"/>
      <c r="AQ39" s="278"/>
      <c r="AR39" s="278"/>
      <c r="AS39" s="278"/>
      <c r="AT39" s="278"/>
      <c r="AU39" s="278"/>
      <c r="AV39" s="278"/>
      <c r="AW39" s="278"/>
      <c r="AX39" s="278"/>
      <c r="AY39" s="278"/>
      <c r="AZ39" s="278"/>
      <c r="BA39" s="278"/>
      <c r="BB39" s="278"/>
      <c r="BC39" s="278"/>
      <c r="BD39" s="278"/>
      <c r="BE39" s="278"/>
      <c r="BF39" s="278"/>
      <c r="BG39" s="278"/>
      <c r="BH39" s="278"/>
      <c r="BI39" s="278"/>
      <c r="BJ39" s="278"/>
      <c r="BK39" s="278"/>
      <c r="BL39" s="278"/>
      <c r="BM39" s="278"/>
      <c r="BN39" s="278"/>
      <c r="BO39" s="278"/>
      <c r="BP39" s="278"/>
      <c r="BQ39" s="278"/>
      <c r="BR39" s="278"/>
      <c r="BS39" s="278"/>
      <c r="BT39" s="278"/>
      <c r="BU39" s="278"/>
      <c r="BV39" s="278"/>
      <c r="BW39" s="278"/>
      <c r="BX39" s="278"/>
    </row>
    <row r="40" spans="1:76" x14ac:dyDescent="0.35">
      <c r="A40" s="278"/>
      <c r="B40" s="278"/>
      <c r="C40" s="278"/>
      <c r="D40" s="278"/>
      <c r="E40" s="278"/>
      <c r="F40" s="278"/>
      <c r="G40" s="278"/>
      <c r="H40" s="278"/>
      <c r="I40" s="278"/>
      <c r="J40" s="278"/>
      <c r="K40" s="278"/>
      <c r="L40" s="278"/>
      <c r="M40" s="278"/>
      <c r="N40" s="278"/>
      <c r="O40" s="278"/>
      <c r="P40" s="278"/>
      <c r="Q40" s="278"/>
      <c r="R40" s="278"/>
      <c r="S40" s="278"/>
      <c r="T40" s="278"/>
      <c r="U40" s="278"/>
      <c r="V40" s="278"/>
      <c r="W40" s="278"/>
      <c r="X40" s="278"/>
      <c r="Y40" s="278"/>
      <c r="Z40" s="278"/>
      <c r="AA40" s="278"/>
      <c r="AB40" s="278"/>
      <c r="AC40" s="278"/>
      <c r="AD40" s="278"/>
      <c r="AE40" s="278"/>
      <c r="AF40" s="278"/>
      <c r="AG40" s="278"/>
      <c r="AH40" s="278"/>
      <c r="AI40" s="278"/>
      <c r="AJ40" s="278"/>
      <c r="AK40" s="278"/>
      <c r="AL40" s="278"/>
      <c r="AM40" s="278"/>
      <c r="AN40" s="278"/>
      <c r="AO40" s="278"/>
      <c r="AP40" s="278"/>
      <c r="AQ40" s="278"/>
      <c r="AR40" s="278"/>
      <c r="AS40" s="278"/>
      <c r="AT40" s="278"/>
      <c r="AU40" s="278"/>
      <c r="AV40" s="278"/>
      <c r="AW40" s="278"/>
      <c r="AX40" s="278"/>
      <c r="AY40" s="278"/>
      <c r="AZ40" s="278"/>
      <c r="BA40" s="278"/>
      <c r="BB40" s="278"/>
      <c r="BC40" s="278"/>
      <c r="BD40" s="278"/>
      <c r="BE40" s="278"/>
      <c r="BF40" s="278"/>
      <c r="BG40" s="278"/>
      <c r="BH40" s="278"/>
      <c r="BI40" s="278"/>
      <c r="BJ40" s="278"/>
      <c r="BK40" s="278"/>
      <c r="BL40" s="278"/>
      <c r="BM40" s="278"/>
      <c r="BN40" s="278"/>
      <c r="BO40" s="278"/>
      <c r="BP40" s="278"/>
      <c r="BQ40" s="278"/>
      <c r="BR40" s="278"/>
      <c r="BS40" s="278"/>
      <c r="BT40" s="278"/>
      <c r="BU40" s="278"/>
      <c r="BV40" s="278"/>
      <c r="BW40" s="278"/>
      <c r="BX40" s="278"/>
    </row>
    <row r="41" spans="1:76" x14ac:dyDescent="0.35">
      <c r="A41" s="278"/>
      <c r="B41" s="278"/>
      <c r="C41" s="278"/>
      <c r="D41" s="278"/>
      <c r="E41" s="278"/>
      <c r="F41" s="278"/>
      <c r="G41" s="278"/>
      <c r="H41" s="278"/>
      <c r="I41" s="278"/>
      <c r="J41" s="278"/>
      <c r="K41" s="278"/>
      <c r="L41" s="278"/>
      <c r="M41" s="278"/>
      <c r="N41" s="278"/>
      <c r="O41" s="278"/>
      <c r="P41" s="278"/>
      <c r="Q41" s="278"/>
      <c r="R41" s="278"/>
      <c r="S41" s="278"/>
      <c r="T41" s="278"/>
      <c r="U41" s="278"/>
      <c r="V41" s="278"/>
      <c r="W41" s="278"/>
      <c r="X41" s="278"/>
      <c r="Y41" s="278"/>
      <c r="Z41" s="278"/>
      <c r="AA41" s="278"/>
      <c r="AB41" s="278"/>
      <c r="AC41" s="278"/>
      <c r="AD41" s="278"/>
      <c r="AE41" s="278"/>
      <c r="AF41" s="278"/>
      <c r="AG41" s="278"/>
      <c r="AH41" s="278"/>
      <c r="AI41" s="278"/>
      <c r="AJ41" s="278"/>
      <c r="AK41" s="278"/>
      <c r="AL41" s="278"/>
      <c r="AM41" s="278"/>
      <c r="AN41" s="278"/>
      <c r="AO41" s="278"/>
      <c r="AP41" s="278"/>
      <c r="AQ41" s="278"/>
      <c r="AR41" s="278"/>
      <c r="AS41" s="278"/>
      <c r="AT41" s="278"/>
      <c r="AU41" s="278"/>
      <c r="AV41" s="278"/>
      <c r="AW41" s="278"/>
      <c r="AX41" s="278"/>
      <c r="AY41" s="278"/>
      <c r="AZ41" s="278"/>
      <c r="BA41" s="278"/>
      <c r="BB41" s="278"/>
      <c r="BC41" s="278"/>
      <c r="BD41" s="278"/>
      <c r="BE41" s="278"/>
      <c r="BF41" s="278"/>
      <c r="BG41" s="278"/>
      <c r="BH41" s="278"/>
      <c r="BI41" s="278"/>
      <c r="BJ41" s="278"/>
      <c r="BK41" s="278"/>
      <c r="BL41" s="278"/>
      <c r="BM41" s="278"/>
      <c r="BN41" s="278"/>
      <c r="BO41" s="278"/>
      <c r="BP41" s="278"/>
      <c r="BQ41" s="278"/>
      <c r="BR41" s="278"/>
      <c r="BS41" s="278"/>
      <c r="BT41" s="278"/>
      <c r="BU41" s="278"/>
      <c r="BV41" s="278"/>
      <c r="BW41" s="278"/>
      <c r="BX41" s="278"/>
    </row>
    <row r="42" spans="1:76" x14ac:dyDescent="0.35">
      <c r="A42" s="278"/>
      <c r="B42" s="278"/>
      <c r="C42" s="278"/>
      <c r="D42" s="278"/>
      <c r="E42" s="278"/>
      <c r="F42" s="278"/>
      <c r="G42" s="278"/>
      <c r="H42" s="278"/>
      <c r="I42" s="278"/>
      <c r="J42" s="278"/>
      <c r="K42" s="278"/>
      <c r="L42" s="278"/>
      <c r="M42" s="278"/>
      <c r="N42" s="278"/>
      <c r="O42" s="278"/>
      <c r="P42" s="278"/>
      <c r="Q42" s="278"/>
      <c r="R42" s="278"/>
      <c r="S42" s="278"/>
      <c r="T42" s="278"/>
      <c r="U42" s="278"/>
      <c r="V42" s="278"/>
      <c r="W42" s="278"/>
      <c r="X42" s="278"/>
      <c r="Y42" s="278"/>
      <c r="Z42" s="278"/>
      <c r="AA42" s="278"/>
      <c r="AB42" s="278"/>
      <c r="AC42" s="278"/>
      <c r="AD42" s="278"/>
      <c r="AE42" s="278"/>
      <c r="AF42" s="278"/>
      <c r="AG42" s="278"/>
      <c r="AH42" s="278"/>
      <c r="AI42" s="278"/>
      <c r="AJ42" s="278"/>
      <c r="AK42" s="278"/>
      <c r="AL42" s="278"/>
      <c r="AM42" s="278"/>
      <c r="AN42" s="278"/>
      <c r="AO42" s="278"/>
      <c r="AP42" s="278"/>
      <c r="AQ42" s="278"/>
      <c r="AR42" s="278"/>
      <c r="AS42" s="278"/>
      <c r="AT42" s="278"/>
      <c r="AU42" s="278"/>
      <c r="AV42" s="278"/>
      <c r="AW42" s="278"/>
      <c r="AX42" s="278"/>
      <c r="AY42" s="278"/>
      <c r="AZ42" s="278"/>
      <c r="BA42" s="278"/>
      <c r="BB42" s="278"/>
      <c r="BC42" s="278"/>
      <c r="BD42" s="278"/>
      <c r="BE42" s="278"/>
      <c r="BF42" s="278"/>
      <c r="BG42" s="278"/>
      <c r="BH42" s="278"/>
      <c r="BI42" s="278"/>
      <c r="BJ42" s="278"/>
      <c r="BK42" s="278"/>
      <c r="BL42" s="278"/>
      <c r="BM42" s="278"/>
      <c r="BN42" s="278"/>
      <c r="BO42" s="278"/>
      <c r="BP42" s="278"/>
      <c r="BQ42" s="278"/>
      <c r="BR42" s="278"/>
      <c r="BS42" s="278"/>
      <c r="BT42" s="278"/>
      <c r="BU42" s="278"/>
      <c r="BV42" s="278"/>
      <c r="BW42" s="278"/>
      <c r="BX42" s="278"/>
    </row>
    <row r="43" spans="1:76" x14ac:dyDescent="0.35">
      <c r="A43" s="278"/>
      <c r="B43" s="278"/>
      <c r="C43" s="278"/>
      <c r="D43" s="278"/>
      <c r="E43" s="278"/>
      <c r="F43" s="278"/>
      <c r="G43" s="278"/>
      <c r="H43" s="278"/>
      <c r="I43" s="278"/>
      <c r="J43" s="278"/>
      <c r="K43" s="278"/>
      <c r="L43" s="278"/>
      <c r="M43" s="278"/>
      <c r="N43" s="278"/>
      <c r="O43" s="278"/>
      <c r="P43" s="278"/>
      <c r="Q43" s="278"/>
      <c r="R43" s="278"/>
      <c r="S43" s="278"/>
      <c r="T43" s="278"/>
      <c r="U43" s="278"/>
      <c r="V43" s="278"/>
      <c r="W43" s="278"/>
      <c r="X43" s="278"/>
      <c r="Y43" s="278"/>
      <c r="Z43" s="278"/>
      <c r="AA43" s="278"/>
      <c r="AB43" s="278"/>
      <c r="AC43" s="278"/>
      <c r="AD43" s="278"/>
      <c r="AE43" s="278"/>
      <c r="AF43" s="278"/>
      <c r="AG43" s="278"/>
      <c r="AH43" s="278"/>
      <c r="AI43" s="278"/>
      <c r="AJ43" s="278"/>
      <c r="AK43" s="278"/>
      <c r="AL43" s="278"/>
      <c r="AM43" s="278"/>
      <c r="AN43" s="278"/>
      <c r="AO43" s="278"/>
      <c r="AP43" s="278"/>
      <c r="AQ43" s="278"/>
      <c r="AR43" s="278"/>
      <c r="AS43" s="278"/>
      <c r="AT43" s="278"/>
      <c r="AU43" s="278"/>
      <c r="AV43" s="278"/>
      <c r="AW43" s="278"/>
      <c r="AX43" s="278"/>
      <c r="AY43" s="278"/>
      <c r="AZ43" s="278"/>
      <c r="BA43" s="278"/>
      <c r="BB43" s="278"/>
      <c r="BC43" s="278"/>
      <c r="BD43" s="278"/>
      <c r="BE43" s="278"/>
      <c r="BF43" s="278"/>
      <c r="BG43" s="278"/>
      <c r="BH43" s="278"/>
      <c r="BI43" s="278"/>
      <c r="BJ43" s="278"/>
      <c r="BK43" s="278"/>
      <c r="BL43" s="278"/>
      <c r="BM43" s="278"/>
      <c r="BN43" s="278"/>
      <c r="BO43" s="278"/>
      <c r="BP43" s="278"/>
      <c r="BQ43" s="278"/>
      <c r="BR43" s="278"/>
      <c r="BS43" s="278"/>
      <c r="BT43" s="278"/>
      <c r="BU43" s="278"/>
      <c r="BV43" s="278"/>
      <c r="BW43" s="278"/>
      <c r="BX43" s="278"/>
    </row>
    <row r="44" spans="1:76" x14ac:dyDescent="0.35">
      <c r="A44" s="278"/>
      <c r="B44" s="278"/>
      <c r="C44" s="278"/>
      <c r="D44" s="278"/>
      <c r="E44" s="278"/>
      <c r="F44" s="278"/>
      <c r="G44" s="278"/>
      <c r="H44" s="278"/>
      <c r="I44" s="278"/>
      <c r="J44" s="278"/>
      <c r="K44" s="278"/>
      <c r="L44" s="278"/>
      <c r="M44" s="278"/>
      <c r="N44" s="278"/>
      <c r="O44" s="278"/>
      <c r="P44" s="278"/>
      <c r="Q44" s="278"/>
      <c r="R44" s="278"/>
      <c r="S44" s="278"/>
      <c r="T44" s="278"/>
      <c r="U44" s="278"/>
      <c r="V44" s="278"/>
      <c r="W44" s="278"/>
      <c r="X44" s="278"/>
      <c r="Y44" s="278"/>
      <c r="Z44" s="278"/>
      <c r="AA44" s="278"/>
      <c r="AB44" s="278"/>
      <c r="AC44" s="278"/>
      <c r="AD44" s="278"/>
      <c r="AE44" s="278"/>
      <c r="AF44" s="278"/>
      <c r="AG44" s="278"/>
      <c r="AH44" s="278"/>
      <c r="AI44" s="278"/>
      <c r="AJ44" s="278"/>
      <c r="AK44" s="278"/>
      <c r="AL44" s="278"/>
      <c r="AM44" s="278"/>
      <c r="AN44" s="278"/>
      <c r="AO44" s="278"/>
      <c r="AP44" s="278"/>
      <c r="AQ44" s="278"/>
      <c r="AR44" s="278"/>
      <c r="AS44" s="278"/>
      <c r="AT44" s="278"/>
      <c r="AU44" s="278"/>
      <c r="AV44" s="278"/>
      <c r="AW44" s="278"/>
      <c r="AX44" s="278"/>
      <c r="AY44" s="278"/>
      <c r="AZ44" s="278"/>
      <c r="BA44" s="278"/>
      <c r="BB44" s="278"/>
      <c r="BC44" s="278"/>
      <c r="BD44" s="278"/>
      <c r="BE44" s="278"/>
      <c r="BF44" s="278"/>
      <c r="BG44" s="278"/>
      <c r="BH44" s="278"/>
      <c r="BI44" s="278"/>
      <c r="BJ44" s="278"/>
      <c r="BK44" s="278"/>
      <c r="BL44" s="278"/>
      <c r="BM44" s="278"/>
      <c r="BN44" s="278"/>
      <c r="BO44" s="278"/>
      <c r="BP44" s="278"/>
      <c r="BQ44" s="278"/>
      <c r="BR44" s="278"/>
      <c r="BS44" s="278"/>
      <c r="BT44" s="278"/>
      <c r="BU44" s="278"/>
      <c r="BV44" s="278"/>
      <c r="BW44" s="278"/>
      <c r="BX44" s="278"/>
    </row>
    <row r="45" spans="1:76" x14ac:dyDescent="0.35">
      <c r="A45" s="278"/>
      <c r="B45" s="278"/>
      <c r="C45" s="278"/>
      <c r="D45" s="278"/>
      <c r="E45" s="278"/>
      <c r="F45" s="278"/>
      <c r="G45" s="278"/>
      <c r="H45" s="278"/>
      <c r="I45" s="278"/>
      <c r="J45" s="278"/>
      <c r="K45" s="278"/>
      <c r="L45" s="278"/>
      <c r="M45" s="278"/>
      <c r="N45" s="278"/>
      <c r="O45" s="278"/>
      <c r="P45" s="278"/>
      <c r="Q45" s="278"/>
      <c r="R45" s="278"/>
      <c r="S45" s="278"/>
      <c r="T45" s="278"/>
      <c r="U45" s="278"/>
      <c r="V45" s="278"/>
      <c r="W45" s="278"/>
      <c r="X45" s="278"/>
      <c r="Y45" s="278"/>
      <c r="Z45" s="278"/>
      <c r="AA45" s="278"/>
      <c r="AB45" s="278"/>
      <c r="AC45" s="278"/>
      <c r="AD45" s="278"/>
      <c r="AE45" s="278"/>
      <c r="AF45" s="278"/>
      <c r="AG45" s="278"/>
      <c r="AH45" s="278"/>
      <c r="AI45" s="278"/>
      <c r="AJ45" s="278"/>
      <c r="AK45" s="278"/>
      <c r="AL45" s="278"/>
      <c r="AM45" s="278"/>
      <c r="AN45" s="278"/>
      <c r="AO45" s="278"/>
      <c r="AP45" s="278"/>
      <c r="AQ45" s="278"/>
      <c r="AR45" s="278"/>
      <c r="AS45" s="278"/>
      <c r="AT45" s="278"/>
      <c r="AU45" s="278"/>
      <c r="AV45" s="278"/>
      <c r="AW45" s="278"/>
      <c r="AX45" s="278"/>
      <c r="AY45" s="278"/>
      <c r="AZ45" s="278"/>
      <c r="BA45" s="278"/>
      <c r="BB45" s="278"/>
      <c r="BC45" s="278"/>
      <c r="BD45" s="278"/>
      <c r="BE45" s="278"/>
      <c r="BF45" s="278"/>
      <c r="BG45" s="278"/>
      <c r="BH45" s="278"/>
      <c r="BI45" s="278"/>
      <c r="BJ45" s="278"/>
      <c r="BK45" s="278"/>
      <c r="BL45" s="278"/>
      <c r="BM45" s="278"/>
      <c r="BN45" s="278"/>
      <c r="BO45" s="278"/>
      <c r="BP45" s="278"/>
      <c r="BQ45" s="278"/>
      <c r="BR45" s="278"/>
      <c r="BS45" s="278"/>
      <c r="BT45" s="278"/>
      <c r="BU45" s="278"/>
      <c r="BV45" s="278"/>
      <c r="BW45" s="278"/>
      <c r="BX45" s="278"/>
    </row>
    <row r="46" spans="1:76" x14ac:dyDescent="0.35">
      <c r="A46" s="278"/>
      <c r="B46" s="278"/>
      <c r="C46" s="278"/>
      <c r="D46" s="278"/>
      <c r="E46" s="278"/>
      <c r="F46" s="278"/>
      <c r="G46" s="278"/>
      <c r="H46" s="278"/>
      <c r="I46" s="278"/>
      <c r="J46" s="278"/>
      <c r="K46" s="278"/>
      <c r="L46" s="278"/>
      <c r="M46" s="278"/>
      <c r="N46" s="278"/>
      <c r="O46" s="278"/>
      <c r="P46" s="278"/>
      <c r="Q46" s="278"/>
      <c r="R46" s="278"/>
      <c r="S46" s="278"/>
      <c r="T46" s="278"/>
      <c r="U46" s="278"/>
      <c r="V46" s="278"/>
      <c r="W46" s="278"/>
      <c r="X46" s="278"/>
      <c r="Y46" s="278"/>
      <c r="Z46" s="278"/>
      <c r="AA46" s="278"/>
      <c r="AB46" s="278"/>
      <c r="AC46" s="278"/>
      <c r="AD46" s="278"/>
      <c r="AE46" s="278"/>
      <c r="AF46" s="278"/>
      <c r="AG46" s="278"/>
      <c r="AH46" s="278"/>
      <c r="AI46" s="278"/>
      <c r="AJ46" s="278"/>
      <c r="AK46" s="278"/>
      <c r="AL46" s="278"/>
      <c r="AM46" s="278"/>
      <c r="AN46" s="278"/>
      <c r="AO46" s="278"/>
      <c r="AP46" s="278"/>
      <c r="AQ46" s="278"/>
      <c r="AR46" s="278"/>
      <c r="AS46" s="278"/>
      <c r="AT46" s="278"/>
      <c r="AU46" s="278"/>
      <c r="AV46" s="278"/>
      <c r="AW46" s="278"/>
      <c r="AX46" s="278"/>
      <c r="AY46" s="278"/>
      <c r="AZ46" s="278"/>
      <c r="BA46" s="278"/>
      <c r="BB46" s="278"/>
      <c r="BC46" s="278"/>
      <c r="BD46" s="278"/>
      <c r="BE46" s="278"/>
      <c r="BF46" s="278"/>
      <c r="BG46" s="278"/>
      <c r="BH46" s="278"/>
      <c r="BI46" s="278"/>
      <c r="BJ46" s="278"/>
      <c r="BK46" s="278"/>
      <c r="BL46" s="278"/>
      <c r="BM46" s="278"/>
      <c r="BN46" s="278"/>
      <c r="BO46" s="278"/>
      <c r="BP46" s="278"/>
      <c r="BQ46" s="278"/>
      <c r="BR46" s="278"/>
      <c r="BS46" s="278"/>
      <c r="BT46" s="278"/>
      <c r="BU46" s="278"/>
      <c r="BV46" s="278"/>
      <c r="BW46" s="278"/>
      <c r="BX46" s="278"/>
    </row>
    <row r="47" spans="1:76" x14ac:dyDescent="0.35">
      <c r="A47" s="278"/>
      <c r="B47" s="278"/>
      <c r="C47" s="278"/>
      <c r="D47" s="278"/>
      <c r="E47" s="278"/>
      <c r="F47" s="278"/>
      <c r="G47" s="278"/>
      <c r="H47" s="278"/>
      <c r="I47" s="278"/>
      <c r="J47" s="278"/>
      <c r="K47" s="278"/>
      <c r="L47" s="278"/>
      <c r="M47" s="278"/>
      <c r="N47" s="278"/>
      <c r="O47" s="278"/>
      <c r="P47" s="278"/>
      <c r="Q47" s="278"/>
      <c r="R47" s="278"/>
      <c r="S47" s="278"/>
      <c r="T47" s="278"/>
      <c r="U47" s="278"/>
      <c r="V47" s="278"/>
      <c r="W47" s="278"/>
      <c r="X47" s="278"/>
      <c r="Y47" s="278"/>
      <c r="Z47" s="278"/>
      <c r="AA47" s="278"/>
      <c r="AB47" s="278"/>
      <c r="AC47" s="278"/>
      <c r="AD47" s="278"/>
      <c r="AE47" s="278"/>
      <c r="AF47" s="278"/>
      <c r="AG47" s="278"/>
      <c r="AH47" s="278"/>
      <c r="AI47" s="278"/>
      <c r="AJ47" s="278"/>
      <c r="AK47" s="278"/>
      <c r="AL47" s="278"/>
      <c r="AM47" s="278"/>
      <c r="AN47" s="278"/>
      <c r="AO47" s="278"/>
      <c r="AP47" s="278"/>
      <c r="AQ47" s="278"/>
      <c r="AR47" s="278"/>
      <c r="AS47" s="278"/>
      <c r="AT47" s="278"/>
      <c r="AU47" s="278"/>
      <c r="AV47" s="278"/>
      <c r="AW47" s="278"/>
      <c r="AX47" s="278"/>
      <c r="AY47" s="278"/>
      <c r="AZ47" s="278"/>
      <c r="BA47" s="278"/>
      <c r="BB47" s="278"/>
      <c r="BC47" s="278"/>
      <c r="BD47" s="278"/>
      <c r="BE47" s="278"/>
      <c r="BF47" s="278"/>
      <c r="BG47" s="278"/>
      <c r="BH47" s="278"/>
      <c r="BI47" s="278"/>
      <c r="BJ47" s="278"/>
      <c r="BK47" s="278"/>
      <c r="BL47" s="278"/>
      <c r="BM47" s="278"/>
      <c r="BN47" s="278"/>
      <c r="BO47" s="278"/>
      <c r="BP47" s="278"/>
      <c r="BQ47" s="278"/>
      <c r="BR47" s="278"/>
      <c r="BS47" s="278"/>
      <c r="BT47" s="278"/>
      <c r="BU47" s="278"/>
      <c r="BV47" s="278"/>
      <c r="BW47" s="278"/>
      <c r="BX47" s="278"/>
    </row>
    <row r="48" spans="1:76" x14ac:dyDescent="0.35">
      <c r="A48" s="278"/>
      <c r="B48" s="278"/>
      <c r="C48" s="278"/>
      <c r="D48" s="278"/>
      <c r="E48" s="278"/>
      <c r="F48" s="278"/>
      <c r="G48" s="278"/>
      <c r="H48" s="278"/>
      <c r="I48" s="278"/>
      <c r="J48" s="278"/>
      <c r="K48" s="278"/>
      <c r="L48" s="278"/>
      <c r="M48" s="278"/>
      <c r="N48" s="278"/>
      <c r="O48" s="278"/>
      <c r="P48" s="278"/>
      <c r="Q48" s="278"/>
      <c r="R48" s="278"/>
      <c r="S48" s="278"/>
      <c r="T48" s="278"/>
      <c r="U48" s="278"/>
      <c r="V48" s="278"/>
      <c r="W48" s="278"/>
      <c r="X48" s="278"/>
      <c r="Y48" s="278"/>
      <c r="Z48" s="278"/>
      <c r="AA48" s="278"/>
      <c r="AB48" s="278"/>
      <c r="AC48" s="278"/>
      <c r="AD48" s="278"/>
      <c r="AE48" s="278"/>
      <c r="AF48" s="278"/>
      <c r="AG48" s="278"/>
      <c r="AH48" s="278"/>
      <c r="AI48" s="278"/>
      <c r="AJ48" s="278"/>
      <c r="AK48" s="278"/>
      <c r="AL48" s="278"/>
      <c r="AM48" s="278"/>
      <c r="AN48" s="278"/>
      <c r="AO48" s="278"/>
      <c r="AP48" s="278"/>
      <c r="AQ48" s="278"/>
      <c r="AR48" s="278"/>
      <c r="AS48" s="278"/>
      <c r="AT48" s="278"/>
      <c r="AU48" s="278"/>
      <c r="AV48" s="278"/>
      <c r="AW48" s="278"/>
      <c r="AX48" s="278"/>
      <c r="AY48" s="278"/>
      <c r="AZ48" s="278"/>
      <c r="BA48" s="278"/>
      <c r="BB48" s="278"/>
      <c r="BC48" s="278"/>
      <c r="BD48" s="278"/>
      <c r="BE48" s="278"/>
      <c r="BF48" s="278"/>
      <c r="BG48" s="278"/>
      <c r="BH48" s="278"/>
      <c r="BI48" s="278"/>
      <c r="BJ48" s="278"/>
      <c r="BK48" s="278"/>
      <c r="BL48" s="278"/>
      <c r="BM48" s="278"/>
      <c r="BN48" s="278"/>
      <c r="BO48" s="278"/>
      <c r="BP48" s="278"/>
      <c r="BQ48" s="278"/>
      <c r="BR48" s="278"/>
      <c r="BS48" s="278"/>
      <c r="BT48" s="278"/>
      <c r="BU48" s="278"/>
      <c r="BV48" s="278"/>
      <c r="BW48" s="278"/>
      <c r="BX48" s="278"/>
    </row>
    <row r="49" spans="1:76" x14ac:dyDescent="0.35">
      <c r="A49" s="278"/>
      <c r="B49" s="278"/>
      <c r="C49" s="278"/>
      <c r="D49" s="278"/>
      <c r="E49" s="278"/>
      <c r="F49" s="278"/>
      <c r="G49" s="278"/>
      <c r="H49" s="278"/>
      <c r="I49" s="278"/>
      <c r="J49" s="278"/>
      <c r="K49" s="278"/>
      <c r="L49" s="278"/>
      <c r="M49" s="278"/>
      <c r="N49" s="278"/>
      <c r="O49" s="278"/>
      <c r="P49" s="278"/>
      <c r="Q49" s="278"/>
      <c r="R49" s="278"/>
      <c r="S49" s="278"/>
      <c r="T49" s="278"/>
      <c r="U49" s="278"/>
      <c r="V49" s="278"/>
      <c r="W49" s="278"/>
      <c r="X49" s="278"/>
      <c r="Y49" s="278"/>
      <c r="Z49" s="278"/>
      <c r="AA49" s="278"/>
      <c r="AB49" s="278"/>
      <c r="AC49" s="278"/>
      <c r="AD49" s="278"/>
      <c r="AE49" s="278"/>
      <c r="AF49" s="278"/>
      <c r="AG49" s="278"/>
      <c r="AH49" s="278"/>
      <c r="AI49" s="278"/>
      <c r="AJ49" s="278"/>
      <c r="AK49" s="278"/>
      <c r="AL49" s="278"/>
      <c r="AM49" s="278"/>
      <c r="AN49" s="278"/>
      <c r="AO49" s="278"/>
      <c r="AP49" s="278"/>
      <c r="AQ49" s="278"/>
      <c r="AR49" s="278"/>
      <c r="AS49" s="278"/>
      <c r="AT49" s="278"/>
      <c r="AU49" s="278"/>
      <c r="AV49" s="278"/>
      <c r="AW49" s="278"/>
      <c r="AX49" s="278"/>
      <c r="AY49" s="278"/>
      <c r="AZ49" s="278"/>
      <c r="BA49" s="278"/>
      <c r="BB49" s="278"/>
      <c r="BC49" s="278"/>
      <c r="BD49" s="278"/>
      <c r="BE49" s="278"/>
      <c r="BF49" s="278"/>
      <c r="BG49" s="278"/>
      <c r="BH49" s="278"/>
      <c r="BI49" s="278"/>
      <c r="BJ49" s="278"/>
      <c r="BK49" s="278"/>
      <c r="BL49" s="278"/>
      <c r="BM49" s="278"/>
      <c r="BN49" s="278"/>
      <c r="BO49" s="278"/>
      <c r="BP49" s="278"/>
      <c r="BQ49" s="278"/>
      <c r="BR49" s="278"/>
      <c r="BS49" s="278"/>
      <c r="BT49" s="278"/>
      <c r="BU49" s="278"/>
      <c r="BV49" s="278"/>
      <c r="BW49" s="278"/>
      <c r="BX49" s="278"/>
    </row>
    <row r="50" spans="1:76" x14ac:dyDescent="0.35">
      <c r="A50" s="278"/>
      <c r="B50" s="278"/>
      <c r="C50" s="278"/>
      <c r="D50" s="278"/>
      <c r="E50" s="278"/>
      <c r="F50" s="278"/>
      <c r="G50" s="278"/>
      <c r="H50" s="278"/>
      <c r="I50" s="278"/>
      <c r="J50" s="278"/>
      <c r="K50" s="278"/>
      <c r="L50" s="278"/>
      <c r="M50" s="278"/>
      <c r="N50" s="278"/>
      <c r="O50" s="278"/>
      <c r="P50" s="278"/>
      <c r="Q50" s="278"/>
      <c r="R50" s="278"/>
      <c r="S50" s="278"/>
      <c r="T50" s="278"/>
      <c r="U50" s="278"/>
      <c r="V50" s="278"/>
      <c r="W50" s="278"/>
      <c r="X50" s="278"/>
      <c r="Y50" s="278"/>
      <c r="Z50" s="278"/>
      <c r="AA50" s="278"/>
      <c r="AB50" s="278"/>
      <c r="AC50" s="278"/>
      <c r="AD50" s="278"/>
      <c r="AE50" s="278"/>
      <c r="AF50" s="278"/>
      <c r="AG50" s="278"/>
      <c r="AH50" s="278"/>
      <c r="AI50" s="278"/>
      <c r="AJ50" s="278"/>
      <c r="AK50" s="278"/>
      <c r="AL50" s="278"/>
      <c r="AM50" s="278"/>
      <c r="AN50" s="278"/>
      <c r="AO50" s="278"/>
      <c r="AP50" s="278"/>
      <c r="AQ50" s="278"/>
      <c r="AR50" s="278"/>
      <c r="AS50" s="278"/>
      <c r="AT50" s="278"/>
      <c r="AU50" s="278"/>
      <c r="AV50" s="278"/>
      <c r="AW50" s="278"/>
      <c r="AX50" s="278"/>
      <c r="AY50" s="278"/>
      <c r="AZ50" s="278"/>
      <c r="BA50" s="278"/>
      <c r="BB50" s="278"/>
      <c r="BC50" s="278"/>
      <c r="BD50" s="278"/>
      <c r="BE50" s="278"/>
      <c r="BF50" s="278"/>
      <c r="BG50" s="278"/>
      <c r="BH50" s="278"/>
      <c r="BI50" s="278"/>
      <c r="BJ50" s="278"/>
      <c r="BK50" s="278"/>
      <c r="BL50" s="278"/>
      <c r="BM50" s="278"/>
      <c r="BN50" s="278"/>
      <c r="BO50" s="278"/>
      <c r="BP50" s="278"/>
      <c r="BQ50" s="278"/>
      <c r="BR50" s="278"/>
      <c r="BS50" s="278"/>
      <c r="BT50" s="278"/>
      <c r="BU50" s="278"/>
      <c r="BV50" s="278"/>
      <c r="BW50" s="278"/>
      <c r="BX50" s="278"/>
    </row>
  </sheetData>
  <mergeCells count="5">
    <mergeCell ref="A1:H10"/>
    <mergeCell ref="I1:V5"/>
    <mergeCell ref="I6:V8"/>
    <mergeCell ref="I9:V10"/>
    <mergeCell ref="A11:BX5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zoomScale="70" zoomScaleNormal="70" workbookViewId="0">
      <selection activeCell="G27" sqref="G27"/>
    </sheetView>
  </sheetViews>
  <sheetFormatPr defaultRowHeight="14.5" x14ac:dyDescent="0.35"/>
  <cols>
    <col min="8" max="8" width="9.6328125" customWidth="1"/>
    <col min="9" max="9" width="9.54296875" customWidth="1"/>
    <col min="13" max="13" width="9.7265625" customWidth="1"/>
  </cols>
  <sheetData>
    <row r="1" spans="1:14" ht="14.5" customHeight="1" x14ac:dyDescent="0.35">
      <c r="A1" s="278"/>
      <c r="B1" s="278"/>
      <c r="C1" s="278"/>
      <c r="D1" s="279" t="s">
        <v>72</v>
      </c>
      <c r="E1" s="279"/>
      <c r="F1" s="279"/>
      <c r="G1" s="279"/>
      <c r="H1" s="279"/>
      <c r="I1" s="279"/>
      <c r="J1" s="279"/>
      <c r="K1" s="279"/>
      <c r="L1" s="279"/>
      <c r="M1" s="279"/>
      <c r="N1" s="279"/>
    </row>
    <row r="2" spans="1:14" ht="14.5" customHeight="1" x14ac:dyDescent="0.35">
      <c r="A2" s="278"/>
      <c r="B2" s="278"/>
      <c r="C2" s="278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</row>
    <row r="3" spans="1:14" ht="23.5" customHeight="1" x14ac:dyDescent="0.35">
      <c r="A3" s="278"/>
      <c r="B3" s="278"/>
      <c r="C3" s="278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</row>
    <row r="4" spans="1:14" ht="15" customHeight="1" x14ac:dyDescent="0.35">
      <c r="A4" s="278"/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</row>
    <row r="5" spans="1:14" ht="29" customHeight="1" x14ac:dyDescent="0.35">
      <c r="A5" s="308" t="s">
        <v>146</v>
      </c>
      <c r="B5" s="308"/>
      <c r="C5" s="308"/>
      <c r="D5" s="308"/>
      <c r="F5" s="308" t="s">
        <v>138</v>
      </c>
      <c r="G5" s="308"/>
      <c r="H5" s="308"/>
      <c r="I5" s="308"/>
      <c r="K5" s="308" t="s">
        <v>139</v>
      </c>
      <c r="L5" s="308"/>
      <c r="M5" s="308"/>
      <c r="N5" s="308"/>
    </row>
    <row r="7" spans="1:14" x14ac:dyDescent="0.35">
      <c r="A7" s="95" t="s">
        <v>74</v>
      </c>
      <c r="B7" s="96"/>
      <c r="C7" s="97"/>
      <c r="D7" s="98"/>
      <c r="E7" s="1"/>
      <c r="F7" s="95" t="s">
        <v>74</v>
      </c>
      <c r="G7" s="96"/>
      <c r="H7" s="97"/>
      <c r="I7" s="98"/>
      <c r="K7" s="95" t="s">
        <v>74</v>
      </c>
      <c r="L7" s="96"/>
      <c r="M7" s="97"/>
      <c r="N7" s="98"/>
    </row>
    <row r="8" spans="1:14" x14ac:dyDescent="0.35">
      <c r="A8" s="99" t="s">
        <v>75</v>
      </c>
      <c r="B8" s="100"/>
      <c r="C8" s="101">
        <v>0</v>
      </c>
      <c r="D8" s="102" t="s">
        <v>76</v>
      </c>
      <c r="E8" s="1"/>
      <c r="F8" s="99" t="s">
        <v>75</v>
      </c>
      <c r="G8" s="100"/>
      <c r="H8" s="101">
        <v>10580000</v>
      </c>
      <c r="I8" s="102" t="s">
        <v>76</v>
      </c>
      <c r="K8" s="99" t="s">
        <v>75</v>
      </c>
      <c r="L8" s="100"/>
      <c r="M8" s="101">
        <f>M9+M10+M11</f>
        <v>51056320.210000001</v>
      </c>
      <c r="N8" s="102" t="s">
        <v>76</v>
      </c>
    </row>
    <row r="9" spans="1:14" x14ac:dyDescent="0.35">
      <c r="A9" s="309" t="s">
        <v>77</v>
      </c>
      <c r="B9" s="282"/>
      <c r="C9" s="105">
        <v>0</v>
      </c>
      <c r="D9" s="106" t="s">
        <v>76</v>
      </c>
      <c r="E9" s="1"/>
      <c r="F9" s="309" t="s">
        <v>77</v>
      </c>
      <c r="G9" s="282"/>
      <c r="H9" s="105">
        <v>0</v>
      </c>
      <c r="I9" s="106" t="s">
        <v>76</v>
      </c>
      <c r="K9" s="309" t="s">
        <v>77</v>
      </c>
      <c r="L9" s="282"/>
      <c r="M9" s="105">
        <f>'CF, NPV, IRR'!C91</f>
        <v>42262620.210000001</v>
      </c>
      <c r="N9" s="106" t="s">
        <v>76</v>
      </c>
    </row>
    <row r="10" spans="1:14" x14ac:dyDescent="0.35">
      <c r="A10" s="309" t="s">
        <v>78</v>
      </c>
      <c r="B10" s="282"/>
      <c r="C10" s="105">
        <v>0</v>
      </c>
      <c r="D10" s="106" t="s">
        <v>76</v>
      </c>
      <c r="E10" s="1"/>
      <c r="F10" s="309" t="s">
        <v>78</v>
      </c>
      <c r="G10" s="282"/>
      <c r="H10" s="105">
        <v>10580000</v>
      </c>
      <c r="I10" s="106" t="s">
        <v>76</v>
      </c>
      <c r="K10" s="309" t="s">
        <v>78</v>
      </c>
      <c r="L10" s="282"/>
      <c r="M10" s="105">
        <f>'CF, NPV, IRR'!C92</f>
        <v>8500000</v>
      </c>
      <c r="N10" s="106" t="s">
        <v>76</v>
      </c>
    </row>
    <row r="11" spans="1:14" x14ac:dyDescent="0.35">
      <c r="A11" s="107"/>
      <c r="B11" s="108"/>
      <c r="C11" s="100"/>
      <c r="D11" s="102"/>
      <c r="E11" s="1"/>
      <c r="F11" s="107"/>
      <c r="G11" s="108"/>
      <c r="H11" s="100"/>
      <c r="I11" s="102"/>
      <c r="K11" s="227" t="s">
        <v>135</v>
      </c>
      <c r="L11" s="228"/>
      <c r="M11" s="229">
        <f>'CF, NPV, IRR'!C93</f>
        <v>293700</v>
      </c>
      <c r="N11" s="226" t="s">
        <v>76</v>
      </c>
    </row>
    <row r="12" spans="1:14" x14ac:dyDescent="0.35">
      <c r="A12" s="310" t="s">
        <v>79</v>
      </c>
      <c r="B12" s="311"/>
      <c r="C12" s="109">
        <v>0.04</v>
      </c>
      <c r="D12" s="110"/>
      <c r="E12" s="1"/>
      <c r="F12" s="310" t="s">
        <v>79</v>
      </c>
      <c r="G12" s="311"/>
      <c r="H12" s="109">
        <v>0.04</v>
      </c>
      <c r="I12" s="110"/>
      <c r="K12" s="107"/>
      <c r="L12" s="108"/>
      <c r="M12" s="100"/>
      <c r="N12" s="102"/>
    </row>
    <row r="13" spans="1:14" x14ac:dyDescent="0.35">
      <c r="A13" s="100"/>
      <c r="B13" s="100"/>
      <c r="C13" s="132"/>
      <c r="D13" s="100"/>
      <c r="E13" s="1"/>
      <c r="F13" s="100"/>
      <c r="G13" s="100"/>
      <c r="H13" s="132"/>
      <c r="I13" s="100"/>
      <c r="K13" s="310" t="s">
        <v>79</v>
      </c>
      <c r="L13" s="311"/>
      <c r="M13" s="109">
        <v>0.04</v>
      </c>
      <c r="N13" s="110"/>
    </row>
    <row r="14" spans="1:14" ht="15" thickBot="1" x14ac:dyDescent="0.4">
      <c r="A14" s="1"/>
      <c r="B14" s="1"/>
      <c r="C14" s="1"/>
      <c r="D14" s="1"/>
      <c r="E14" s="1"/>
      <c r="F14" s="1"/>
      <c r="G14" s="1"/>
      <c r="H14" s="1"/>
      <c r="I14" s="1"/>
      <c r="K14" s="1"/>
      <c r="L14" s="1"/>
      <c r="M14" s="1"/>
      <c r="N14" s="1"/>
    </row>
    <row r="15" spans="1:14" ht="10" customHeight="1" x14ac:dyDescent="0.35">
      <c r="A15" s="312" t="s">
        <v>136</v>
      </c>
      <c r="B15" s="313"/>
      <c r="C15" s="323" t="s">
        <v>142</v>
      </c>
      <c r="D15" s="324"/>
      <c r="E15" s="1"/>
      <c r="F15" s="312" t="s">
        <v>136</v>
      </c>
      <c r="G15" s="313"/>
      <c r="H15" s="314">
        <f>'CF, NPV, IRR'!D79</f>
        <v>-75083202.506575182</v>
      </c>
      <c r="I15" s="315"/>
      <c r="K15" s="284" t="s">
        <v>136</v>
      </c>
      <c r="L15" s="285"/>
      <c r="M15" s="288">
        <f>'CF, NPV, IRR'!D122</f>
        <v>-72500315.357530981</v>
      </c>
      <c r="N15" s="289"/>
    </row>
    <row r="16" spans="1:14" ht="10" customHeight="1" x14ac:dyDescent="0.35">
      <c r="A16" s="300"/>
      <c r="B16" s="301"/>
      <c r="C16" s="304"/>
      <c r="D16" s="305"/>
      <c r="E16" s="1"/>
      <c r="F16" s="300"/>
      <c r="G16" s="301"/>
      <c r="H16" s="316"/>
      <c r="I16" s="317"/>
      <c r="K16" s="286"/>
      <c r="L16" s="287"/>
      <c r="M16" s="290"/>
      <c r="N16" s="291"/>
    </row>
    <row r="17" spans="1:16" ht="10" customHeight="1" x14ac:dyDescent="0.35">
      <c r="A17" s="300" t="s">
        <v>96</v>
      </c>
      <c r="B17" s="301"/>
      <c r="C17" s="304" t="s">
        <v>142</v>
      </c>
      <c r="D17" s="305"/>
      <c r="E17" s="1"/>
      <c r="F17" s="300" t="s">
        <v>96</v>
      </c>
      <c r="G17" s="301"/>
      <c r="H17" s="318">
        <f>'CF, NPV, IRR'!D81</f>
        <v>-75083202.506575182</v>
      </c>
      <c r="I17" s="297"/>
      <c r="K17" s="292" t="s">
        <v>96</v>
      </c>
      <c r="L17" s="293"/>
      <c r="M17" s="290">
        <f>'CF, NPV, IRR'!D124</f>
        <v>-72500315.357530981</v>
      </c>
      <c r="N17" s="291"/>
    </row>
    <row r="18" spans="1:16" ht="10" customHeight="1" x14ac:dyDescent="0.35">
      <c r="A18" s="300"/>
      <c r="B18" s="301"/>
      <c r="C18" s="304"/>
      <c r="D18" s="305"/>
      <c r="E18" s="1"/>
      <c r="F18" s="300"/>
      <c r="G18" s="301"/>
      <c r="H18" s="318"/>
      <c r="I18" s="297"/>
      <c r="K18" s="292"/>
      <c r="L18" s="293"/>
      <c r="M18" s="290"/>
      <c r="N18" s="291"/>
    </row>
    <row r="19" spans="1:16" ht="10" customHeight="1" x14ac:dyDescent="0.35">
      <c r="A19" s="300" t="s">
        <v>137</v>
      </c>
      <c r="B19" s="301"/>
      <c r="C19" s="304" t="s">
        <v>142</v>
      </c>
      <c r="D19" s="305"/>
      <c r="E19" s="1"/>
      <c r="F19" s="300" t="s">
        <v>137</v>
      </c>
      <c r="G19" s="301"/>
      <c r="H19" s="319" t="s">
        <v>151</v>
      </c>
      <c r="I19" s="320"/>
      <c r="K19" s="292" t="s">
        <v>137</v>
      </c>
      <c r="L19" s="293"/>
      <c r="M19" s="296" t="str">
        <f>'CF, NPV, IRR'!D126</f>
        <v>&gt;25</v>
      </c>
      <c r="N19" s="297"/>
      <c r="O19" s="101"/>
      <c r="P19" s="100"/>
    </row>
    <row r="20" spans="1:16" ht="10" customHeight="1" thickBot="1" x14ac:dyDescent="0.4">
      <c r="A20" s="302"/>
      <c r="B20" s="303"/>
      <c r="C20" s="306"/>
      <c r="D20" s="307"/>
      <c r="E20" s="1"/>
      <c r="F20" s="302"/>
      <c r="G20" s="303"/>
      <c r="H20" s="321"/>
      <c r="I20" s="322"/>
      <c r="K20" s="294"/>
      <c r="L20" s="295"/>
      <c r="M20" s="298"/>
      <c r="N20" s="299"/>
      <c r="O20" s="105"/>
      <c r="P20" s="209"/>
    </row>
    <row r="21" spans="1:16" x14ac:dyDescent="0.35">
      <c r="M21" s="282"/>
      <c r="N21" s="282"/>
      <c r="O21" s="105"/>
      <c r="P21" s="209"/>
    </row>
    <row r="22" spans="1:16" x14ac:dyDescent="0.35">
      <c r="M22" s="209"/>
      <c r="N22" s="209"/>
      <c r="O22" s="196"/>
      <c r="P22" s="209"/>
    </row>
    <row r="23" spans="1:16" x14ac:dyDescent="0.35">
      <c r="M23" s="108"/>
      <c r="N23" s="108"/>
      <c r="O23" s="100"/>
      <c r="P23" s="100"/>
    </row>
    <row r="24" spans="1:16" x14ac:dyDescent="0.35">
      <c r="M24" s="283"/>
      <c r="N24" s="283"/>
      <c r="O24" s="132"/>
      <c r="P24" s="100"/>
    </row>
  </sheetData>
  <mergeCells count="35">
    <mergeCell ref="K13:L13"/>
    <mergeCell ref="A12:B12"/>
    <mergeCell ref="A1:C3"/>
    <mergeCell ref="A5:D5"/>
    <mergeCell ref="A9:B9"/>
    <mergeCell ref="A10:B10"/>
    <mergeCell ref="D1:N3"/>
    <mergeCell ref="K5:N5"/>
    <mergeCell ref="A4:N4"/>
    <mergeCell ref="K9:L9"/>
    <mergeCell ref="K10:L10"/>
    <mergeCell ref="A19:B20"/>
    <mergeCell ref="C19:D20"/>
    <mergeCell ref="F5:I5"/>
    <mergeCell ref="F9:G9"/>
    <mergeCell ref="F10:G10"/>
    <mergeCell ref="F12:G12"/>
    <mergeCell ref="F15:G16"/>
    <mergeCell ref="H15:I16"/>
    <mergeCell ref="F17:G18"/>
    <mergeCell ref="H17:I18"/>
    <mergeCell ref="F19:G20"/>
    <mergeCell ref="H19:I20"/>
    <mergeCell ref="A15:B16"/>
    <mergeCell ref="C15:D16"/>
    <mergeCell ref="A17:B18"/>
    <mergeCell ref="C17:D18"/>
    <mergeCell ref="M21:N21"/>
    <mergeCell ref="M24:N24"/>
    <mergeCell ref="K15:L16"/>
    <mergeCell ref="M15:N16"/>
    <mergeCell ref="K17:L18"/>
    <mergeCell ref="M17:N18"/>
    <mergeCell ref="K19:L20"/>
    <mergeCell ref="M19:N20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N61"/>
  <sheetViews>
    <sheetView zoomScale="60" zoomScaleNormal="60" workbookViewId="0">
      <pane ySplit="5" topLeftCell="A39" activePane="bottomLeft" state="frozen"/>
      <selection pane="bottomLeft" activeCell="M6" sqref="M6"/>
    </sheetView>
  </sheetViews>
  <sheetFormatPr defaultColWidth="8.7265625" defaultRowHeight="14" x14ac:dyDescent="0.3"/>
  <cols>
    <col min="1" max="1" width="19.81640625" style="1" customWidth="1"/>
    <col min="2" max="2" width="11" style="1" customWidth="1"/>
    <col min="3" max="4" width="8.7265625" style="1"/>
    <col min="5" max="40" width="12.54296875" style="1" customWidth="1"/>
    <col min="41" max="16384" width="8.7265625" style="1"/>
  </cols>
  <sheetData>
    <row r="1" spans="1:170" customFormat="1" ht="28.5" customHeight="1" x14ac:dyDescent="0.35">
      <c r="A1" s="91"/>
      <c r="B1" s="326" t="s">
        <v>72</v>
      </c>
      <c r="C1" s="326"/>
      <c r="D1" s="326"/>
      <c r="E1" s="326"/>
      <c r="F1" s="326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  <c r="AB1" s="327"/>
      <c r="AC1" s="327"/>
      <c r="AD1" s="327"/>
      <c r="AE1" s="327"/>
      <c r="AF1" s="327"/>
      <c r="AG1" s="327"/>
      <c r="AH1" s="327"/>
      <c r="AI1" s="327"/>
      <c r="AJ1" s="327"/>
      <c r="AK1" s="327"/>
      <c r="AL1" s="327"/>
      <c r="AM1" s="327"/>
      <c r="AN1" s="327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</row>
    <row r="2" spans="1:170" customFormat="1" ht="14.5" customHeight="1" x14ac:dyDescent="0.35">
      <c r="A2" s="92"/>
      <c r="B2" s="326"/>
      <c r="C2" s="326"/>
      <c r="D2" s="326"/>
      <c r="E2" s="326"/>
      <c r="F2" s="326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7"/>
      <c r="R2" s="327"/>
      <c r="S2" s="327"/>
      <c r="T2" s="327"/>
      <c r="U2" s="327"/>
      <c r="V2" s="327"/>
      <c r="W2" s="327"/>
      <c r="X2" s="327"/>
      <c r="Y2" s="327"/>
      <c r="Z2" s="327"/>
      <c r="AA2" s="327"/>
      <c r="AB2" s="327"/>
      <c r="AC2" s="327"/>
      <c r="AD2" s="327"/>
      <c r="AE2" s="327"/>
      <c r="AF2" s="327"/>
      <c r="AG2" s="327"/>
      <c r="AH2" s="327"/>
      <c r="AI2" s="327"/>
      <c r="AJ2" s="327"/>
      <c r="AK2" s="327"/>
      <c r="AL2" s="327"/>
      <c r="AM2" s="327"/>
      <c r="AN2" s="327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</row>
    <row r="3" spans="1:170" ht="9" customHeight="1" x14ac:dyDescent="0.3">
      <c r="B3" s="326"/>
      <c r="C3" s="326"/>
      <c r="D3" s="326"/>
      <c r="E3" s="326"/>
      <c r="F3" s="326"/>
      <c r="G3" s="327"/>
      <c r="H3" s="327"/>
      <c r="I3" s="327"/>
      <c r="J3" s="327"/>
      <c r="K3" s="327"/>
      <c r="L3" s="327"/>
      <c r="M3" s="327"/>
      <c r="N3" s="327"/>
      <c r="O3" s="327"/>
      <c r="P3" s="327"/>
      <c r="Q3" s="327"/>
      <c r="R3" s="327"/>
      <c r="S3" s="327"/>
      <c r="T3" s="327"/>
      <c r="U3" s="327"/>
      <c r="V3" s="327"/>
      <c r="W3" s="327"/>
      <c r="X3" s="327"/>
      <c r="Y3" s="327"/>
      <c r="Z3" s="327"/>
      <c r="AA3" s="327"/>
      <c r="AB3" s="327"/>
      <c r="AC3" s="327"/>
      <c r="AD3" s="327"/>
      <c r="AE3" s="327"/>
      <c r="AF3" s="327"/>
      <c r="AG3" s="327"/>
      <c r="AH3" s="327"/>
      <c r="AI3" s="327"/>
      <c r="AJ3" s="327"/>
      <c r="AK3" s="327"/>
      <c r="AL3" s="327"/>
      <c r="AM3" s="327"/>
      <c r="AN3" s="327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</row>
    <row r="4" spans="1:170" ht="28" customHeight="1" x14ac:dyDescent="0.3">
      <c r="A4" s="308" t="s">
        <v>0</v>
      </c>
      <c r="B4" s="308"/>
      <c r="C4" s="308"/>
      <c r="D4" s="308"/>
      <c r="E4" s="308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</row>
    <row r="5" spans="1:170" s="5" customFormat="1" ht="18" customHeight="1" x14ac:dyDescent="0.3">
      <c r="E5" s="6">
        <v>2015</v>
      </c>
      <c r="F5" s="6">
        <v>2016</v>
      </c>
      <c r="G5" s="6">
        <v>2017</v>
      </c>
      <c r="H5" s="6">
        <v>2018</v>
      </c>
      <c r="I5" s="6">
        <v>2019</v>
      </c>
      <c r="J5" s="6">
        <v>2020</v>
      </c>
      <c r="K5" s="6">
        <v>2021</v>
      </c>
      <c r="L5" s="7">
        <v>2022</v>
      </c>
      <c r="M5" s="7">
        <v>2023</v>
      </c>
      <c r="N5" s="7">
        <v>2024</v>
      </c>
      <c r="O5" s="7">
        <v>2025</v>
      </c>
      <c r="P5" s="7">
        <v>2026</v>
      </c>
      <c r="Q5" s="7">
        <v>2027</v>
      </c>
      <c r="R5" s="7">
        <v>2028</v>
      </c>
      <c r="S5" s="7">
        <v>2029</v>
      </c>
      <c r="T5" s="7">
        <v>2030</v>
      </c>
      <c r="U5" s="7">
        <v>2031</v>
      </c>
      <c r="V5" s="7">
        <v>2032</v>
      </c>
      <c r="W5" s="7">
        <v>2033</v>
      </c>
      <c r="X5" s="7">
        <v>2034</v>
      </c>
      <c r="Y5" s="7">
        <v>2035</v>
      </c>
      <c r="Z5" s="7">
        <v>2036</v>
      </c>
      <c r="AA5" s="7">
        <v>2037</v>
      </c>
      <c r="AB5" s="7">
        <v>2038</v>
      </c>
      <c r="AC5" s="7">
        <v>2039</v>
      </c>
      <c r="AD5" s="7">
        <v>2040</v>
      </c>
      <c r="AE5" s="7">
        <v>2041</v>
      </c>
      <c r="AF5" s="7">
        <v>2042</v>
      </c>
      <c r="AG5" s="7">
        <v>2043</v>
      </c>
      <c r="AH5" s="7">
        <v>2044</v>
      </c>
      <c r="AI5" s="7">
        <v>2045</v>
      </c>
      <c r="AJ5" s="7">
        <v>2046</v>
      </c>
      <c r="AK5" s="7">
        <v>2047</v>
      </c>
      <c r="AL5" s="7">
        <v>2048</v>
      </c>
      <c r="AM5" s="7">
        <v>2049</v>
      </c>
      <c r="AN5" s="7">
        <v>2050</v>
      </c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</row>
    <row r="6" spans="1:170" s="9" customFormat="1" x14ac:dyDescent="0.3">
      <c r="A6" s="328" t="s">
        <v>1</v>
      </c>
      <c r="B6" s="328"/>
      <c r="C6" s="328"/>
      <c r="E6" s="10">
        <f>SUM(E8:E12)</f>
        <v>39157554</v>
      </c>
      <c r="F6" s="10">
        <f t="shared" ref="F6:K6" si="0">SUM(F8:F11)</f>
        <v>41941403</v>
      </c>
      <c r="G6" s="10">
        <f t="shared" si="0"/>
        <v>42466224</v>
      </c>
      <c r="H6" s="10">
        <f t="shared" si="0"/>
        <v>44102478</v>
      </c>
      <c r="I6" s="10">
        <f t="shared" si="0"/>
        <v>49404755</v>
      </c>
      <c r="J6" s="10">
        <f t="shared" si="0"/>
        <v>49794066</v>
      </c>
      <c r="K6" s="10">
        <f t="shared" si="0"/>
        <v>56267720</v>
      </c>
      <c r="L6" s="10">
        <f t="shared" ref="L6" si="1">SUM(L8:L11)</f>
        <v>58136151</v>
      </c>
      <c r="M6" s="10">
        <v>78186291</v>
      </c>
      <c r="N6" s="10">
        <f>M6</f>
        <v>78186291</v>
      </c>
      <c r="O6" s="10">
        <f>N6</f>
        <v>78186291</v>
      </c>
      <c r="P6" s="10">
        <f>O6</f>
        <v>78186291</v>
      </c>
      <c r="Q6" s="10">
        <f>P6</f>
        <v>78186291</v>
      </c>
      <c r="R6" s="10">
        <f>Q6</f>
        <v>78186291</v>
      </c>
      <c r="S6" s="10">
        <f t="shared" ref="S6:AN6" si="2">R6</f>
        <v>78186291</v>
      </c>
      <c r="T6" s="10">
        <f t="shared" si="2"/>
        <v>78186291</v>
      </c>
      <c r="U6" s="10">
        <f t="shared" si="2"/>
        <v>78186291</v>
      </c>
      <c r="V6" s="10">
        <f t="shared" si="2"/>
        <v>78186291</v>
      </c>
      <c r="W6" s="10">
        <f t="shared" si="2"/>
        <v>78186291</v>
      </c>
      <c r="X6" s="10">
        <f t="shared" si="2"/>
        <v>78186291</v>
      </c>
      <c r="Y6" s="10">
        <f t="shared" si="2"/>
        <v>78186291</v>
      </c>
      <c r="Z6" s="10">
        <f t="shared" si="2"/>
        <v>78186291</v>
      </c>
      <c r="AA6" s="10">
        <f t="shared" si="2"/>
        <v>78186291</v>
      </c>
      <c r="AB6" s="10">
        <f t="shared" si="2"/>
        <v>78186291</v>
      </c>
      <c r="AC6" s="10">
        <f t="shared" si="2"/>
        <v>78186291</v>
      </c>
      <c r="AD6" s="10">
        <f t="shared" si="2"/>
        <v>78186291</v>
      </c>
      <c r="AE6" s="10">
        <f t="shared" si="2"/>
        <v>78186291</v>
      </c>
      <c r="AF6" s="10">
        <f t="shared" si="2"/>
        <v>78186291</v>
      </c>
      <c r="AG6" s="10">
        <f t="shared" si="2"/>
        <v>78186291</v>
      </c>
      <c r="AH6" s="10">
        <f t="shared" si="2"/>
        <v>78186291</v>
      </c>
      <c r="AI6" s="10">
        <f t="shared" si="2"/>
        <v>78186291</v>
      </c>
      <c r="AJ6" s="10">
        <f t="shared" si="2"/>
        <v>78186291</v>
      </c>
      <c r="AK6" s="10">
        <f t="shared" si="2"/>
        <v>78186291</v>
      </c>
      <c r="AL6" s="10">
        <f t="shared" si="2"/>
        <v>78186291</v>
      </c>
      <c r="AM6" s="10">
        <f t="shared" si="2"/>
        <v>78186291</v>
      </c>
      <c r="AN6" s="10">
        <f t="shared" si="2"/>
        <v>78186291</v>
      </c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</row>
    <row r="7" spans="1:170" s="3" customFormat="1" x14ac:dyDescent="0.3">
      <c r="A7" s="11" t="s">
        <v>2</v>
      </c>
      <c r="B7" s="12"/>
      <c r="C7" s="13"/>
      <c r="D7" s="13"/>
      <c r="E7" s="14" t="s">
        <v>3</v>
      </c>
      <c r="F7" s="15">
        <f>(F6-E6)/E6</f>
        <v>7.1093536639188437E-2</v>
      </c>
      <c r="G7" s="15">
        <f t="shared" ref="G7:AN7" si="3">(G6-F6)/F6</f>
        <v>1.2513196089315372E-2</v>
      </c>
      <c r="H7" s="15">
        <f t="shared" si="3"/>
        <v>3.8530715610599141E-2</v>
      </c>
      <c r="I7" s="15">
        <f t="shared" si="3"/>
        <v>0.12022628297666177</v>
      </c>
      <c r="J7" s="16">
        <f t="shared" si="3"/>
        <v>7.8800309808236078E-3</v>
      </c>
      <c r="K7" s="16">
        <f t="shared" si="3"/>
        <v>0.1300085435883063</v>
      </c>
      <c r="L7" s="16">
        <f t="shared" si="3"/>
        <v>3.3206090454704761E-2</v>
      </c>
      <c r="M7" s="16">
        <f t="shared" si="3"/>
        <v>0.3448824811260725</v>
      </c>
      <c r="N7" s="16">
        <f t="shared" si="3"/>
        <v>0</v>
      </c>
      <c r="O7" s="16">
        <f t="shared" si="3"/>
        <v>0</v>
      </c>
      <c r="P7" s="16">
        <f t="shared" si="3"/>
        <v>0</v>
      </c>
      <c r="Q7" s="16">
        <f t="shared" si="3"/>
        <v>0</v>
      </c>
      <c r="R7" s="16">
        <f t="shared" si="3"/>
        <v>0</v>
      </c>
      <c r="S7" s="16">
        <f t="shared" si="3"/>
        <v>0</v>
      </c>
      <c r="T7" s="16">
        <f t="shared" si="3"/>
        <v>0</v>
      </c>
      <c r="U7" s="16">
        <f t="shared" si="3"/>
        <v>0</v>
      </c>
      <c r="V7" s="16">
        <f t="shared" si="3"/>
        <v>0</v>
      </c>
      <c r="W7" s="16">
        <f t="shared" si="3"/>
        <v>0</v>
      </c>
      <c r="X7" s="16">
        <f t="shared" si="3"/>
        <v>0</v>
      </c>
      <c r="Y7" s="16">
        <f t="shared" si="3"/>
        <v>0</v>
      </c>
      <c r="Z7" s="16">
        <f t="shared" si="3"/>
        <v>0</v>
      </c>
      <c r="AA7" s="16">
        <f t="shared" si="3"/>
        <v>0</v>
      </c>
      <c r="AB7" s="16">
        <f t="shared" si="3"/>
        <v>0</v>
      </c>
      <c r="AC7" s="16">
        <f t="shared" si="3"/>
        <v>0</v>
      </c>
      <c r="AD7" s="16">
        <f t="shared" si="3"/>
        <v>0</v>
      </c>
      <c r="AE7" s="16">
        <f t="shared" si="3"/>
        <v>0</v>
      </c>
      <c r="AF7" s="16">
        <f t="shared" si="3"/>
        <v>0</v>
      </c>
      <c r="AG7" s="16">
        <f t="shared" si="3"/>
        <v>0</v>
      </c>
      <c r="AH7" s="16">
        <f t="shared" si="3"/>
        <v>0</v>
      </c>
      <c r="AI7" s="16">
        <f t="shared" si="3"/>
        <v>0</v>
      </c>
      <c r="AJ7" s="16">
        <f t="shared" si="3"/>
        <v>0</v>
      </c>
      <c r="AK7" s="16">
        <f t="shared" si="3"/>
        <v>0</v>
      </c>
      <c r="AL7" s="16">
        <f t="shared" si="3"/>
        <v>0</v>
      </c>
      <c r="AM7" s="16">
        <f t="shared" si="3"/>
        <v>0</v>
      </c>
      <c r="AN7" s="16">
        <f t="shared" si="3"/>
        <v>0</v>
      </c>
    </row>
    <row r="8" spans="1:170" x14ac:dyDescent="0.3">
      <c r="A8" s="325" t="s">
        <v>4</v>
      </c>
      <c r="B8" s="325"/>
      <c r="E8" s="17">
        <v>33037860</v>
      </c>
      <c r="F8" s="17">
        <v>35783211</v>
      </c>
      <c r="G8" s="17">
        <v>36327585</v>
      </c>
      <c r="H8" s="17">
        <v>37614826</v>
      </c>
      <c r="I8" s="17">
        <v>42569582</v>
      </c>
      <c r="J8" s="17">
        <v>42751792</v>
      </c>
      <c r="K8" s="17">
        <v>45856155</v>
      </c>
      <c r="L8" s="18">
        <v>49321237</v>
      </c>
      <c r="M8" s="17">
        <f t="shared" ref="M8:R8" si="4">M6*0.89</f>
        <v>69585798.989999995</v>
      </c>
      <c r="N8" s="17">
        <f t="shared" si="4"/>
        <v>69585798.989999995</v>
      </c>
      <c r="O8" s="17">
        <f t="shared" si="4"/>
        <v>69585798.989999995</v>
      </c>
      <c r="P8" s="17">
        <f t="shared" si="4"/>
        <v>69585798.989999995</v>
      </c>
      <c r="Q8" s="17">
        <f t="shared" si="4"/>
        <v>69585798.989999995</v>
      </c>
      <c r="R8" s="17">
        <f t="shared" si="4"/>
        <v>69585798.989999995</v>
      </c>
      <c r="S8" s="17">
        <f t="shared" ref="S8:AN8" si="5">S6*0.89</f>
        <v>69585798.989999995</v>
      </c>
      <c r="T8" s="17">
        <f t="shared" si="5"/>
        <v>69585798.989999995</v>
      </c>
      <c r="U8" s="17">
        <f t="shared" si="5"/>
        <v>69585798.989999995</v>
      </c>
      <c r="V8" s="17">
        <f t="shared" si="5"/>
        <v>69585798.989999995</v>
      </c>
      <c r="W8" s="17">
        <f t="shared" si="5"/>
        <v>69585798.989999995</v>
      </c>
      <c r="X8" s="17">
        <f t="shared" si="5"/>
        <v>69585798.989999995</v>
      </c>
      <c r="Y8" s="17">
        <f t="shared" si="5"/>
        <v>69585798.989999995</v>
      </c>
      <c r="Z8" s="17">
        <f t="shared" si="5"/>
        <v>69585798.989999995</v>
      </c>
      <c r="AA8" s="17">
        <f t="shared" si="5"/>
        <v>69585798.989999995</v>
      </c>
      <c r="AB8" s="17">
        <f t="shared" si="5"/>
        <v>69585798.989999995</v>
      </c>
      <c r="AC8" s="17">
        <f t="shared" si="5"/>
        <v>69585798.989999995</v>
      </c>
      <c r="AD8" s="17">
        <f t="shared" si="5"/>
        <v>69585798.989999995</v>
      </c>
      <c r="AE8" s="17">
        <f t="shared" si="5"/>
        <v>69585798.989999995</v>
      </c>
      <c r="AF8" s="17">
        <f t="shared" si="5"/>
        <v>69585798.989999995</v>
      </c>
      <c r="AG8" s="17">
        <f t="shared" si="5"/>
        <v>69585798.989999995</v>
      </c>
      <c r="AH8" s="17">
        <f t="shared" si="5"/>
        <v>69585798.989999995</v>
      </c>
      <c r="AI8" s="17">
        <f t="shared" si="5"/>
        <v>69585798.989999995</v>
      </c>
      <c r="AJ8" s="17">
        <f t="shared" si="5"/>
        <v>69585798.989999995</v>
      </c>
      <c r="AK8" s="17">
        <f t="shared" si="5"/>
        <v>69585798.989999995</v>
      </c>
      <c r="AL8" s="17">
        <f t="shared" si="5"/>
        <v>69585798.989999995</v>
      </c>
      <c r="AM8" s="17">
        <f t="shared" si="5"/>
        <v>69585798.989999995</v>
      </c>
      <c r="AN8" s="17">
        <f t="shared" si="5"/>
        <v>69585798.989999995</v>
      </c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</row>
    <row r="9" spans="1:170" x14ac:dyDescent="0.3">
      <c r="A9" s="325" t="s">
        <v>5</v>
      </c>
      <c r="B9" s="325"/>
      <c r="E9" s="17">
        <v>2096322</v>
      </c>
      <c r="F9" s="17">
        <v>1990707</v>
      </c>
      <c r="G9" s="17">
        <v>1962281</v>
      </c>
      <c r="H9" s="17">
        <v>1948708</v>
      </c>
      <c r="I9" s="17">
        <v>2058071</v>
      </c>
      <c r="J9" s="17">
        <v>1797673</v>
      </c>
      <c r="K9" s="17">
        <v>2198318</v>
      </c>
      <c r="L9" s="18">
        <v>2220912</v>
      </c>
      <c r="M9" s="17">
        <f>M6*0.03</f>
        <v>2345588.73</v>
      </c>
      <c r="N9" s="17">
        <f>N6*0.03</f>
        <v>2345588.73</v>
      </c>
      <c r="O9" s="17">
        <f>O6*0.03</f>
        <v>2345588.73</v>
      </c>
      <c r="P9" s="17">
        <f>P6*0.03</f>
        <v>2345588.73</v>
      </c>
      <c r="Q9" s="17">
        <f t="shared" ref="Q9:AN9" si="6">Q6*0.03</f>
        <v>2345588.73</v>
      </c>
      <c r="R9" s="17">
        <f t="shared" si="6"/>
        <v>2345588.73</v>
      </c>
      <c r="S9" s="17">
        <f t="shared" si="6"/>
        <v>2345588.73</v>
      </c>
      <c r="T9" s="17">
        <f t="shared" si="6"/>
        <v>2345588.73</v>
      </c>
      <c r="U9" s="17">
        <f t="shared" si="6"/>
        <v>2345588.73</v>
      </c>
      <c r="V9" s="17">
        <f t="shared" si="6"/>
        <v>2345588.73</v>
      </c>
      <c r="W9" s="17">
        <f t="shared" si="6"/>
        <v>2345588.73</v>
      </c>
      <c r="X9" s="17">
        <f t="shared" si="6"/>
        <v>2345588.73</v>
      </c>
      <c r="Y9" s="17">
        <f t="shared" si="6"/>
        <v>2345588.73</v>
      </c>
      <c r="Z9" s="17">
        <f t="shared" si="6"/>
        <v>2345588.73</v>
      </c>
      <c r="AA9" s="17">
        <f t="shared" si="6"/>
        <v>2345588.73</v>
      </c>
      <c r="AB9" s="17">
        <f t="shared" si="6"/>
        <v>2345588.73</v>
      </c>
      <c r="AC9" s="17">
        <f t="shared" si="6"/>
        <v>2345588.73</v>
      </c>
      <c r="AD9" s="17">
        <f t="shared" si="6"/>
        <v>2345588.73</v>
      </c>
      <c r="AE9" s="17">
        <f t="shared" si="6"/>
        <v>2345588.73</v>
      </c>
      <c r="AF9" s="17">
        <f t="shared" si="6"/>
        <v>2345588.73</v>
      </c>
      <c r="AG9" s="17">
        <f t="shared" si="6"/>
        <v>2345588.73</v>
      </c>
      <c r="AH9" s="17">
        <f t="shared" si="6"/>
        <v>2345588.73</v>
      </c>
      <c r="AI9" s="17">
        <f t="shared" si="6"/>
        <v>2345588.73</v>
      </c>
      <c r="AJ9" s="17">
        <f t="shared" si="6"/>
        <v>2345588.73</v>
      </c>
      <c r="AK9" s="17">
        <f t="shared" si="6"/>
        <v>2345588.73</v>
      </c>
      <c r="AL9" s="17">
        <f t="shared" si="6"/>
        <v>2345588.73</v>
      </c>
      <c r="AM9" s="17">
        <f t="shared" si="6"/>
        <v>2345588.73</v>
      </c>
      <c r="AN9" s="17">
        <f t="shared" si="6"/>
        <v>2345588.73</v>
      </c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</row>
    <row r="10" spans="1:170" x14ac:dyDescent="0.3">
      <c r="A10" s="325" t="s">
        <v>6</v>
      </c>
      <c r="B10" s="325"/>
      <c r="E10" s="17">
        <v>2856111</v>
      </c>
      <c r="F10" s="17">
        <v>3023353</v>
      </c>
      <c r="G10" s="17">
        <v>3049219</v>
      </c>
      <c r="H10" s="17">
        <v>3389111</v>
      </c>
      <c r="I10" s="17">
        <v>3607793</v>
      </c>
      <c r="J10" s="17">
        <v>3134620</v>
      </c>
      <c r="K10" s="17">
        <v>3385507</v>
      </c>
      <c r="L10" s="18">
        <v>3727928</v>
      </c>
      <c r="M10" s="17">
        <f>M6*0.05</f>
        <v>3909314.5500000003</v>
      </c>
      <c r="N10" s="17">
        <f>N6*0.05</f>
        <v>3909314.5500000003</v>
      </c>
      <c r="O10" s="17">
        <f>O6*0.05</f>
        <v>3909314.5500000003</v>
      </c>
      <c r="P10" s="17">
        <f>P6*0.05</f>
        <v>3909314.5500000003</v>
      </c>
      <c r="Q10" s="17">
        <f t="shared" ref="Q10:AN10" si="7">Q6*0.05</f>
        <v>3909314.5500000003</v>
      </c>
      <c r="R10" s="17">
        <f t="shared" si="7"/>
        <v>3909314.5500000003</v>
      </c>
      <c r="S10" s="17">
        <f t="shared" si="7"/>
        <v>3909314.5500000003</v>
      </c>
      <c r="T10" s="17">
        <f t="shared" si="7"/>
        <v>3909314.5500000003</v>
      </c>
      <c r="U10" s="17">
        <f t="shared" si="7"/>
        <v>3909314.5500000003</v>
      </c>
      <c r="V10" s="17">
        <f t="shared" si="7"/>
        <v>3909314.5500000003</v>
      </c>
      <c r="W10" s="17">
        <f t="shared" si="7"/>
        <v>3909314.5500000003</v>
      </c>
      <c r="X10" s="17">
        <f t="shared" si="7"/>
        <v>3909314.5500000003</v>
      </c>
      <c r="Y10" s="17">
        <f t="shared" si="7"/>
        <v>3909314.5500000003</v>
      </c>
      <c r="Z10" s="17">
        <f t="shared" si="7"/>
        <v>3909314.5500000003</v>
      </c>
      <c r="AA10" s="17">
        <f t="shared" si="7"/>
        <v>3909314.5500000003</v>
      </c>
      <c r="AB10" s="17">
        <f t="shared" si="7"/>
        <v>3909314.5500000003</v>
      </c>
      <c r="AC10" s="17">
        <f t="shared" si="7"/>
        <v>3909314.5500000003</v>
      </c>
      <c r="AD10" s="17">
        <f t="shared" si="7"/>
        <v>3909314.5500000003</v>
      </c>
      <c r="AE10" s="17">
        <f t="shared" si="7"/>
        <v>3909314.5500000003</v>
      </c>
      <c r="AF10" s="17">
        <f t="shared" si="7"/>
        <v>3909314.5500000003</v>
      </c>
      <c r="AG10" s="17">
        <f t="shared" si="7"/>
        <v>3909314.5500000003</v>
      </c>
      <c r="AH10" s="17">
        <f t="shared" si="7"/>
        <v>3909314.5500000003</v>
      </c>
      <c r="AI10" s="17">
        <f t="shared" si="7"/>
        <v>3909314.5500000003</v>
      </c>
      <c r="AJ10" s="17">
        <f t="shared" si="7"/>
        <v>3909314.5500000003</v>
      </c>
      <c r="AK10" s="17">
        <f t="shared" si="7"/>
        <v>3909314.5500000003</v>
      </c>
      <c r="AL10" s="17">
        <f t="shared" si="7"/>
        <v>3909314.5500000003</v>
      </c>
      <c r="AM10" s="17">
        <f t="shared" si="7"/>
        <v>3909314.5500000003</v>
      </c>
      <c r="AN10" s="17">
        <f t="shared" si="7"/>
        <v>3909314.5500000003</v>
      </c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</row>
    <row r="11" spans="1:170" x14ac:dyDescent="0.3">
      <c r="A11" s="325" t="s">
        <v>7</v>
      </c>
      <c r="B11" s="325"/>
      <c r="E11" s="17">
        <v>1167261</v>
      </c>
      <c r="F11" s="17">
        <v>1144132</v>
      </c>
      <c r="G11" s="17">
        <v>1127139</v>
      </c>
      <c r="H11" s="17">
        <v>1149833</v>
      </c>
      <c r="I11" s="17">
        <v>1169309</v>
      </c>
      <c r="J11" s="17">
        <v>2109981</v>
      </c>
      <c r="K11" s="17">
        <v>4827740</v>
      </c>
      <c r="L11" s="18">
        <v>2866074</v>
      </c>
      <c r="M11" s="17">
        <f>M6*0.03</f>
        <v>2345588.73</v>
      </c>
      <c r="N11" s="17">
        <f>N6*0.03</f>
        <v>2345588.73</v>
      </c>
      <c r="O11" s="17">
        <f>O6*0.03</f>
        <v>2345588.73</v>
      </c>
      <c r="P11" s="17">
        <f>P6*0.03</f>
        <v>2345588.73</v>
      </c>
      <c r="Q11" s="17">
        <f t="shared" ref="Q11:AN11" si="8">Q6*0.03</f>
        <v>2345588.73</v>
      </c>
      <c r="R11" s="17">
        <f t="shared" si="8"/>
        <v>2345588.73</v>
      </c>
      <c r="S11" s="17">
        <f t="shared" si="8"/>
        <v>2345588.73</v>
      </c>
      <c r="T11" s="17">
        <f t="shared" si="8"/>
        <v>2345588.73</v>
      </c>
      <c r="U11" s="17">
        <f t="shared" si="8"/>
        <v>2345588.73</v>
      </c>
      <c r="V11" s="17">
        <f t="shared" si="8"/>
        <v>2345588.73</v>
      </c>
      <c r="W11" s="17">
        <f t="shared" si="8"/>
        <v>2345588.73</v>
      </c>
      <c r="X11" s="17">
        <f t="shared" si="8"/>
        <v>2345588.73</v>
      </c>
      <c r="Y11" s="17">
        <f t="shared" si="8"/>
        <v>2345588.73</v>
      </c>
      <c r="Z11" s="17">
        <f t="shared" si="8"/>
        <v>2345588.73</v>
      </c>
      <c r="AA11" s="17">
        <f t="shared" si="8"/>
        <v>2345588.73</v>
      </c>
      <c r="AB11" s="17">
        <f t="shared" si="8"/>
        <v>2345588.73</v>
      </c>
      <c r="AC11" s="17">
        <f t="shared" si="8"/>
        <v>2345588.73</v>
      </c>
      <c r="AD11" s="17">
        <f t="shared" si="8"/>
        <v>2345588.73</v>
      </c>
      <c r="AE11" s="17">
        <f t="shared" si="8"/>
        <v>2345588.73</v>
      </c>
      <c r="AF11" s="17">
        <f t="shared" si="8"/>
        <v>2345588.73</v>
      </c>
      <c r="AG11" s="17">
        <f t="shared" si="8"/>
        <v>2345588.73</v>
      </c>
      <c r="AH11" s="17">
        <f t="shared" si="8"/>
        <v>2345588.73</v>
      </c>
      <c r="AI11" s="17">
        <f t="shared" si="8"/>
        <v>2345588.73</v>
      </c>
      <c r="AJ11" s="17">
        <f t="shared" si="8"/>
        <v>2345588.73</v>
      </c>
      <c r="AK11" s="17">
        <f t="shared" si="8"/>
        <v>2345588.73</v>
      </c>
      <c r="AL11" s="17">
        <f t="shared" si="8"/>
        <v>2345588.73</v>
      </c>
      <c r="AM11" s="17">
        <f t="shared" si="8"/>
        <v>2345588.73</v>
      </c>
      <c r="AN11" s="17">
        <f t="shared" si="8"/>
        <v>2345588.73</v>
      </c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</row>
    <row r="12" spans="1:170" x14ac:dyDescent="0.3">
      <c r="A12" s="327"/>
      <c r="B12" s="327"/>
      <c r="E12" s="17"/>
      <c r="F12" s="17"/>
      <c r="G12" s="17"/>
      <c r="H12" s="17"/>
      <c r="I12" s="17"/>
      <c r="J12" s="17"/>
      <c r="K12" s="17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</row>
    <row r="13" spans="1:170" s="9" customFormat="1" x14ac:dyDescent="0.3">
      <c r="A13" s="328" t="s">
        <v>8</v>
      </c>
      <c r="B13" s="328"/>
      <c r="E13" s="10">
        <f t="shared" ref="E13:J13" si="9">E14+E18+E22+E26+E30+E34</f>
        <v>34697318</v>
      </c>
      <c r="F13" s="10">
        <f t="shared" si="9"/>
        <v>38523506</v>
      </c>
      <c r="G13" s="10">
        <f t="shared" si="9"/>
        <v>39251629</v>
      </c>
      <c r="H13" s="10">
        <f t="shared" si="9"/>
        <v>40981146</v>
      </c>
      <c r="I13" s="10">
        <f t="shared" si="9"/>
        <v>46733173</v>
      </c>
      <c r="J13" s="10">
        <f t="shared" si="9"/>
        <v>47203579</v>
      </c>
      <c r="K13" s="10">
        <f t="shared" ref="K13:AN13" si="10">K14++K18+K22+K26+K30+K34</f>
        <v>53726491.740000002</v>
      </c>
      <c r="L13" s="10">
        <f t="shared" si="10"/>
        <v>55800627</v>
      </c>
      <c r="M13" s="10">
        <f t="shared" si="10"/>
        <v>75616970.862399995</v>
      </c>
      <c r="N13" s="10">
        <f t="shared" si="10"/>
        <v>75616970.902400002</v>
      </c>
      <c r="O13" s="10">
        <f t="shared" si="10"/>
        <v>75616970.902400002</v>
      </c>
      <c r="P13" s="10">
        <f t="shared" si="10"/>
        <v>75616970.902400002</v>
      </c>
      <c r="Q13" s="10">
        <f t="shared" si="10"/>
        <v>75616970.902400002</v>
      </c>
      <c r="R13" s="10">
        <f t="shared" si="10"/>
        <v>75616970.902400002</v>
      </c>
      <c r="S13" s="10">
        <f t="shared" si="10"/>
        <v>75616970.902400002</v>
      </c>
      <c r="T13" s="10">
        <f t="shared" si="10"/>
        <v>75616970.902400002</v>
      </c>
      <c r="U13" s="10">
        <f t="shared" si="10"/>
        <v>75616970.902400002</v>
      </c>
      <c r="V13" s="10">
        <f t="shared" si="10"/>
        <v>75616970.902400002</v>
      </c>
      <c r="W13" s="10">
        <f t="shared" si="10"/>
        <v>75616970.902400002</v>
      </c>
      <c r="X13" s="10">
        <f t="shared" si="10"/>
        <v>75616970.902400002</v>
      </c>
      <c r="Y13" s="10">
        <f t="shared" si="10"/>
        <v>75616970.902400002</v>
      </c>
      <c r="Z13" s="10">
        <f t="shared" si="10"/>
        <v>75616970.902400002</v>
      </c>
      <c r="AA13" s="10">
        <f t="shared" si="10"/>
        <v>75616970.902400002</v>
      </c>
      <c r="AB13" s="10">
        <f t="shared" si="10"/>
        <v>75616970.902400002</v>
      </c>
      <c r="AC13" s="10">
        <f t="shared" si="10"/>
        <v>75616970.902400002</v>
      </c>
      <c r="AD13" s="10">
        <f t="shared" si="10"/>
        <v>75616970.902400002</v>
      </c>
      <c r="AE13" s="10">
        <f t="shared" si="10"/>
        <v>75616970.902400002</v>
      </c>
      <c r="AF13" s="10">
        <f t="shared" si="10"/>
        <v>75616970.902400002</v>
      </c>
      <c r="AG13" s="10">
        <f t="shared" si="10"/>
        <v>75616970.902400002</v>
      </c>
      <c r="AH13" s="10">
        <f t="shared" si="10"/>
        <v>75616970.902400002</v>
      </c>
      <c r="AI13" s="10">
        <f t="shared" si="10"/>
        <v>75616970.902400002</v>
      </c>
      <c r="AJ13" s="10">
        <f t="shared" si="10"/>
        <v>75616970.902400002</v>
      </c>
      <c r="AK13" s="10">
        <f t="shared" si="10"/>
        <v>75616970.902400002</v>
      </c>
      <c r="AL13" s="10">
        <f t="shared" si="10"/>
        <v>75616970.902400002</v>
      </c>
      <c r="AM13" s="10">
        <f t="shared" si="10"/>
        <v>75616970.902400002</v>
      </c>
      <c r="AN13" s="10">
        <f t="shared" si="10"/>
        <v>75616970.902400002</v>
      </c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</row>
    <row r="14" spans="1:170" x14ac:dyDescent="0.3">
      <c r="A14" s="1" t="s">
        <v>9</v>
      </c>
      <c r="E14" s="17">
        <v>8235933</v>
      </c>
      <c r="F14" s="17">
        <v>9569309</v>
      </c>
      <c r="G14" s="17">
        <v>9869394</v>
      </c>
      <c r="H14" s="17">
        <v>9515445</v>
      </c>
      <c r="I14" s="17">
        <v>10618026</v>
      </c>
      <c r="J14" s="17">
        <v>8684693</v>
      </c>
      <c r="K14" s="17">
        <v>10973194</v>
      </c>
      <c r="L14" s="17">
        <v>10502352</v>
      </c>
      <c r="M14" s="17">
        <f>'Výpočty-náklady'!M14</f>
        <v>13980306.9024</v>
      </c>
      <c r="N14" s="17">
        <f>'Výpočty-náklady'!N14</f>
        <v>13980306.9024</v>
      </c>
      <c r="O14" s="17">
        <f>'Výpočty-náklady'!O14</f>
        <v>13980306.9024</v>
      </c>
      <c r="P14" s="17">
        <f>'Výpočty-náklady'!P14</f>
        <v>13980306.9024</v>
      </c>
      <c r="Q14" s="17">
        <f>'Výpočty-náklady'!Q14</f>
        <v>13980306.9024</v>
      </c>
      <c r="R14" s="17">
        <f>'Výpočty-náklady'!R14</f>
        <v>13980306.9024</v>
      </c>
      <c r="S14" s="17">
        <f>'Výpočty-náklady'!S14</f>
        <v>13980306.9024</v>
      </c>
      <c r="T14" s="17">
        <f>'Výpočty-náklady'!T14</f>
        <v>13980306.9024</v>
      </c>
      <c r="U14" s="17">
        <f>'Výpočty-náklady'!U14</f>
        <v>13980306.9024</v>
      </c>
      <c r="V14" s="17">
        <f>'Výpočty-náklady'!V14</f>
        <v>13980306.9024</v>
      </c>
      <c r="W14" s="17">
        <f>'Výpočty-náklady'!W14</f>
        <v>13980306.9024</v>
      </c>
      <c r="X14" s="17">
        <f>'Výpočty-náklady'!X14</f>
        <v>13980306.9024</v>
      </c>
      <c r="Y14" s="17">
        <f>'Výpočty-náklady'!Y14</f>
        <v>13980306.9024</v>
      </c>
      <c r="Z14" s="17">
        <f>'Výpočty-náklady'!Z14</f>
        <v>13980306.9024</v>
      </c>
      <c r="AA14" s="17">
        <f>'Výpočty-náklady'!AA14</f>
        <v>13980306.9024</v>
      </c>
      <c r="AB14" s="17">
        <f>'Výpočty-náklady'!AB14</f>
        <v>13980306.9024</v>
      </c>
      <c r="AC14" s="17">
        <f>'Výpočty-náklady'!AC14</f>
        <v>13980306.9024</v>
      </c>
      <c r="AD14" s="17">
        <f>'Výpočty-náklady'!AD14</f>
        <v>13980306.9024</v>
      </c>
      <c r="AE14" s="17">
        <f>'Výpočty-náklady'!AE14</f>
        <v>13980306.9024</v>
      </c>
      <c r="AF14" s="17">
        <f>'Výpočty-náklady'!AF14</f>
        <v>13980306.9024</v>
      </c>
      <c r="AG14" s="17">
        <f>'Výpočty-náklady'!AG14</f>
        <v>13980306.9024</v>
      </c>
      <c r="AH14" s="17">
        <f>'Výpočty-náklady'!AH14</f>
        <v>13980306.9024</v>
      </c>
      <c r="AI14" s="17">
        <f>'Výpočty-náklady'!AI14</f>
        <v>13980306.9024</v>
      </c>
      <c r="AJ14" s="17">
        <f>'Výpočty-náklady'!AJ14</f>
        <v>13980306.9024</v>
      </c>
      <c r="AK14" s="17">
        <f>'Výpočty-náklady'!AK14</f>
        <v>13980306.9024</v>
      </c>
      <c r="AL14" s="17">
        <f>'Výpočty-náklady'!AL14</f>
        <v>13980306.9024</v>
      </c>
      <c r="AM14" s="17">
        <f>'Výpočty-náklady'!AM14</f>
        <v>13980306.9024</v>
      </c>
      <c r="AN14" s="17">
        <f>'Výpočty-náklady'!AN14</f>
        <v>13980306.9024</v>
      </c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</row>
    <row r="15" spans="1:170" x14ac:dyDescent="0.3">
      <c r="A15" s="19" t="s">
        <v>10</v>
      </c>
      <c r="B15" s="19"/>
      <c r="C15" s="20"/>
      <c r="E15" s="21">
        <f t="shared" ref="E15:AN15" si="11">E14/E13</f>
        <v>0.23736511853740397</v>
      </c>
      <c r="F15" s="21">
        <f t="shared" si="11"/>
        <v>0.2484018199174291</v>
      </c>
      <c r="G15" s="21">
        <f t="shared" si="11"/>
        <v>0.25143909313929363</v>
      </c>
      <c r="H15" s="21">
        <f t="shared" si="11"/>
        <v>0.23219079817826471</v>
      </c>
      <c r="I15" s="21">
        <f t="shared" si="11"/>
        <v>0.22720533014096861</v>
      </c>
      <c r="J15" s="21">
        <f t="shared" si="11"/>
        <v>0.18398378224668091</v>
      </c>
      <c r="K15" s="21">
        <f t="shared" si="11"/>
        <v>0.20424177430201215</v>
      </c>
      <c r="L15" s="21">
        <f t="shared" si="11"/>
        <v>0.18821207869223405</v>
      </c>
      <c r="M15" s="21">
        <f t="shared" si="11"/>
        <v>0.18488319147086607</v>
      </c>
      <c r="N15" s="21">
        <f t="shared" si="11"/>
        <v>0.18488319137306622</v>
      </c>
      <c r="O15" s="21">
        <f t="shared" si="11"/>
        <v>0.18488319137306622</v>
      </c>
      <c r="P15" s="21">
        <f t="shared" si="11"/>
        <v>0.18488319137306622</v>
      </c>
      <c r="Q15" s="21">
        <f t="shared" si="11"/>
        <v>0.18488319137306622</v>
      </c>
      <c r="R15" s="21">
        <f t="shared" si="11"/>
        <v>0.18488319137306622</v>
      </c>
      <c r="S15" s="21">
        <f t="shared" si="11"/>
        <v>0.18488319137306622</v>
      </c>
      <c r="T15" s="21">
        <f t="shared" si="11"/>
        <v>0.18488319137306622</v>
      </c>
      <c r="U15" s="21">
        <f t="shared" si="11"/>
        <v>0.18488319137306622</v>
      </c>
      <c r="V15" s="21">
        <f t="shared" si="11"/>
        <v>0.18488319137306622</v>
      </c>
      <c r="W15" s="21">
        <f t="shared" si="11"/>
        <v>0.18488319137306622</v>
      </c>
      <c r="X15" s="21">
        <f t="shared" si="11"/>
        <v>0.18488319137306622</v>
      </c>
      <c r="Y15" s="21">
        <f t="shared" si="11"/>
        <v>0.18488319137306622</v>
      </c>
      <c r="Z15" s="21">
        <f t="shared" si="11"/>
        <v>0.18488319137306622</v>
      </c>
      <c r="AA15" s="21">
        <f t="shared" si="11"/>
        <v>0.18488319137306622</v>
      </c>
      <c r="AB15" s="21">
        <f t="shared" si="11"/>
        <v>0.18488319137306622</v>
      </c>
      <c r="AC15" s="21">
        <f t="shared" si="11"/>
        <v>0.18488319137306622</v>
      </c>
      <c r="AD15" s="21">
        <f t="shared" si="11"/>
        <v>0.18488319137306622</v>
      </c>
      <c r="AE15" s="21">
        <f t="shared" si="11"/>
        <v>0.18488319137306622</v>
      </c>
      <c r="AF15" s="21">
        <f t="shared" si="11"/>
        <v>0.18488319137306622</v>
      </c>
      <c r="AG15" s="21">
        <f t="shared" si="11"/>
        <v>0.18488319137306622</v>
      </c>
      <c r="AH15" s="21">
        <f t="shared" si="11"/>
        <v>0.18488319137306622</v>
      </c>
      <c r="AI15" s="21">
        <f t="shared" si="11"/>
        <v>0.18488319137306622</v>
      </c>
      <c r="AJ15" s="21">
        <f t="shared" si="11"/>
        <v>0.18488319137306622</v>
      </c>
      <c r="AK15" s="21">
        <f t="shared" si="11"/>
        <v>0.18488319137306622</v>
      </c>
      <c r="AL15" s="21">
        <f t="shared" si="11"/>
        <v>0.18488319137306622</v>
      </c>
      <c r="AM15" s="21">
        <f t="shared" si="11"/>
        <v>0.18488319137306622</v>
      </c>
      <c r="AN15" s="21">
        <f t="shared" si="11"/>
        <v>0.18488319137306622</v>
      </c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</row>
    <row r="16" spans="1:170" x14ac:dyDescent="0.3">
      <c r="A16" s="19" t="s">
        <v>64</v>
      </c>
      <c r="B16" s="19"/>
      <c r="C16" s="20"/>
      <c r="E16" s="80" t="s">
        <v>3</v>
      </c>
      <c r="F16" s="15">
        <f>(F14-E14)/E14</f>
        <v>0.16189738308944476</v>
      </c>
      <c r="G16" s="15">
        <f t="shared" ref="G16:AN16" si="12">(G14-F14)/F14</f>
        <v>3.1359108583493334E-2</v>
      </c>
      <c r="H16" s="15">
        <f t="shared" si="12"/>
        <v>-3.5863296165904411E-2</v>
      </c>
      <c r="I16" s="15">
        <f t="shared" si="12"/>
        <v>0.11587277315984697</v>
      </c>
      <c r="J16" s="15">
        <f t="shared" si="12"/>
        <v>-0.1820802661436316</v>
      </c>
      <c r="K16" s="15">
        <f t="shared" si="12"/>
        <v>0.26350971761465836</v>
      </c>
      <c r="L16" s="15">
        <f t="shared" si="12"/>
        <v>-4.2908382008009699E-2</v>
      </c>
      <c r="M16" s="15">
        <f t="shared" si="12"/>
        <v>0.33115962047358533</v>
      </c>
      <c r="N16" s="15">
        <f t="shared" si="12"/>
        <v>0</v>
      </c>
      <c r="O16" s="15">
        <f t="shared" si="12"/>
        <v>0</v>
      </c>
      <c r="P16" s="15">
        <f t="shared" si="12"/>
        <v>0</v>
      </c>
      <c r="Q16" s="15">
        <f t="shared" si="12"/>
        <v>0</v>
      </c>
      <c r="R16" s="15">
        <f t="shared" si="12"/>
        <v>0</v>
      </c>
      <c r="S16" s="15">
        <f t="shared" si="12"/>
        <v>0</v>
      </c>
      <c r="T16" s="15">
        <f t="shared" si="12"/>
        <v>0</v>
      </c>
      <c r="U16" s="15">
        <f t="shared" si="12"/>
        <v>0</v>
      </c>
      <c r="V16" s="15">
        <f t="shared" si="12"/>
        <v>0</v>
      </c>
      <c r="W16" s="15">
        <f t="shared" si="12"/>
        <v>0</v>
      </c>
      <c r="X16" s="15">
        <f t="shared" si="12"/>
        <v>0</v>
      </c>
      <c r="Y16" s="15">
        <f t="shared" si="12"/>
        <v>0</v>
      </c>
      <c r="Z16" s="15">
        <f t="shared" si="12"/>
        <v>0</v>
      </c>
      <c r="AA16" s="15">
        <f t="shared" si="12"/>
        <v>0</v>
      </c>
      <c r="AB16" s="15">
        <f t="shared" si="12"/>
        <v>0</v>
      </c>
      <c r="AC16" s="15">
        <f t="shared" si="12"/>
        <v>0</v>
      </c>
      <c r="AD16" s="15">
        <f t="shared" si="12"/>
        <v>0</v>
      </c>
      <c r="AE16" s="15">
        <f t="shared" si="12"/>
        <v>0</v>
      </c>
      <c r="AF16" s="15">
        <f t="shared" si="12"/>
        <v>0</v>
      </c>
      <c r="AG16" s="15">
        <f t="shared" si="12"/>
        <v>0</v>
      </c>
      <c r="AH16" s="15">
        <f t="shared" si="12"/>
        <v>0</v>
      </c>
      <c r="AI16" s="15">
        <f t="shared" si="12"/>
        <v>0</v>
      </c>
      <c r="AJ16" s="15">
        <f t="shared" si="12"/>
        <v>0</v>
      </c>
      <c r="AK16" s="15">
        <f t="shared" si="12"/>
        <v>0</v>
      </c>
      <c r="AL16" s="15">
        <f t="shared" si="12"/>
        <v>0</v>
      </c>
      <c r="AM16" s="15">
        <f t="shared" si="12"/>
        <v>0</v>
      </c>
      <c r="AN16" s="15">
        <f t="shared" si="12"/>
        <v>0</v>
      </c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</row>
    <row r="17" spans="1:170" x14ac:dyDescent="0.3">
      <c r="A17" s="23"/>
      <c r="B17" s="24"/>
      <c r="E17" s="30"/>
      <c r="F17" s="30"/>
      <c r="G17" s="30"/>
      <c r="H17" s="31"/>
      <c r="I17" s="32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</row>
    <row r="18" spans="1:170" x14ac:dyDescent="0.3">
      <c r="A18" s="1" t="s">
        <v>20</v>
      </c>
      <c r="E18" s="17">
        <v>894342</v>
      </c>
      <c r="F18" s="17">
        <v>826176</v>
      </c>
      <c r="G18" s="17">
        <v>789479</v>
      </c>
      <c r="H18" s="17">
        <v>829632</v>
      </c>
      <c r="I18" s="17">
        <v>990433</v>
      </c>
      <c r="J18" s="17">
        <v>908070</v>
      </c>
      <c r="K18" s="17">
        <v>938139</v>
      </c>
      <c r="L18" s="17">
        <v>2479749</v>
      </c>
      <c r="M18" s="17">
        <f>'Výpočty-náklady'!M27</f>
        <v>3550913</v>
      </c>
      <c r="N18" s="17">
        <f>'Výpočty-náklady'!N27</f>
        <v>3550913</v>
      </c>
      <c r="O18" s="17">
        <f>'Výpočty-náklady'!O27</f>
        <v>3550913</v>
      </c>
      <c r="P18" s="17">
        <f>'Výpočty-náklady'!P27</f>
        <v>3550913</v>
      </c>
      <c r="Q18" s="17">
        <f>'Výpočty-náklady'!Q27</f>
        <v>3550913</v>
      </c>
      <c r="R18" s="17">
        <f>'Výpočty-náklady'!R27</f>
        <v>3550913</v>
      </c>
      <c r="S18" s="17">
        <f>'Výpočty-náklady'!S27</f>
        <v>3550913</v>
      </c>
      <c r="T18" s="17">
        <f>'Výpočty-náklady'!T27</f>
        <v>3550913</v>
      </c>
      <c r="U18" s="17">
        <f>'Výpočty-náklady'!U27</f>
        <v>3550913</v>
      </c>
      <c r="V18" s="17">
        <f>'Výpočty-náklady'!V27</f>
        <v>3550913</v>
      </c>
      <c r="W18" s="17">
        <f>'Výpočty-náklady'!W27</f>
        <v>3550913</v>
      </c>
      <c r="X18" s="17">
        <f>'Výpočty-náklady'!X27</f>
        <v>3550913</v>
      </c>
      <c r="Y18" s="17">
        <f>'Výpočty-náklady'!Y27</f>
        <v>3550913</v>
      </c>
      <c r="Z18" s="17">
        <f>'Výpočty-náklady'!Z27</f>
        <v>3550913</v>
      </c>
      <c r="AA18" s="17">
        <f>'Výpočty-náklady'!AA27</f>
        <v>3550913</v>
      </c>
      <c r="AB18" s="17">
        <f>'Výpočty-náklady'!AB27</f>
        <v>3550913</v>
      </c>
      <c r="AC18" s="17">
        <f>'Výpočty-náklady'!AC27</f>
        <v>3550913</v>
      </c>
      <c r="AD18" s="17">
        <f>'Výpočty-náklady'!AD27</f>
        <v>3550913</v>
      </c>
      <c r="AE18" s="17">
        <f>'Výpočty-náklady'!AE27</f>
        <v>3550913</v>
      </c>
      <c r="AF18" s="17">
        <f>'Výpočty-náklady'!AF27</f>
        <v>3550913</v>
      </c>
      <c r="AG18" s="17">
        <f>'Výpočty-náklady'!AG27</f>
        <v>3550913</v>
      </c>
      <c r="AH18" s="17">
        <f>'Výpočty-náklady'!AH27</f>
        <v>3550913</v>
      </c>
      <c r="AI18" s="17">
        <f>'Výpočty-náklady'!AI27</f>
        <v>3550913</v>
      </c>
      <c r="AJ18" s="17">
        <f>'Výpočty-náklady'!AJ27</f>
        <v>3550913</v>
      </c>
      <c r="AK18" s="17">
        <f>'Výpočty-náklady'!AK27</f>
        <v>3550913</v>
      </c>
      <c r="AL18" s="17">
        <f>'Výpočty-náklady'!AL27</f>
        <v>3550913</v>
      </c>
      <c r="AM18" s="17">
        <f>'Výpočty-náklady'!AM27</f>
        <v>3550913</v>
      </c>
      <c r="AN18" s="17">
        <f>'Výpočty-náklady'!AN27</f>
        <v>3550913</v>
      </c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</row>
    <row r="19" spans="1:170" x14ac:dyDescent="0.3">
      <c r="A19" s="19" t="s">
        <v>21</v>
      </c>
      <c r="B19" s="19"/>
      <c r="C19" s="19"/>
      <c r="E19" s="21">
        <f t="shared" ref="E19:AN19" si="13">E18/E13</f>
        <v>2.5775536887317919E-2</v>
      </c>
      <c r="F19" s="21">
        <f t="shared" si="13"/>
        <v>2.1446023111188272E-2</v>
      </c>
      <c r="G19" s="21">
        <f t="shared" si="13"/>
        <v>2.0113279884511288E-2</v>
      </c>
      <c r="H19" s="21">
        <f t="shared" si="13"/>
        <v>2.0244236215356204E-2</v>
      </c>
      <c r="I19" s="21">
        <f t="shared" si="13"/>
        <v>2.1193360870232374E-2</v>
      </c>
      <c r="J19" s="21">
        <f t="shared" si="13"/>
        <v>1.9237312492766702E-2</v>
      </c>
      <c r="K19" s="21">
        <f t="shared" si="13"/>
        <v>1.7461385800881253E-2</v>
      </c>
      <c r="L19" s="21">
        <f t="shared" si="13"/>
        <v>4.4439446890086019E-2</v>
      </c>
      <c r="M19" s="21">
        <f t="shared" si="13"/>
        <v>4.6959207166094856E-2</v>
      </c>
      <c r="N19" s="21">
        <f t="shared" si="13"/>
        <v>4.6959207141254289E-2</v>
      </c>
      <c r="O19" s="21">
        <f t="shared" si="13"/>
        <v>4.6959207141254289E-2</v>
      </c>
      <c r="P19" s="21">
        <f t="shared" si="13"/>
        <v>4.6959207141254289E-2</v>
      </c>
      <c r="Q19" s="21">
        <f t="shared" si="13"/>
        <v>4.6959207141254289E-2</v>
      </c>
      <c r="R19" s="21">
        <f t="shared" si="13"/>
        <v>4.6959207141254289E-2</v>
      </c>
      <c r="S19" s="21">
        <f t="shared" si="13"/>
        <v>4.6959207141254289E-2</v>
      </c>
      <c r="T19" s="21">
        <f t="shared" si="13"/>
        <v>4.6959207141254289E-2</v>
      </c>
      <c r="U19" s="21">
        <f t="shared" si="13"/>
        <v>4.6959207141254289E-2</v>
      </c>
      <c r="V19" s="21">
        <f t="shared" si="13"/>
        <v>4.6959207141254289E-2</v>
      </c>
      <c r="W19" s="21">
        <f t="shared" si="13"/>
        <v>4.6959207141254289E-2</v>
      </c>
      <c r="X19" s="21">
        <f t="shared" si="13"/>
        <v>4.6959207141254289E-2</v>
      </c>
      <c r="Y19" s="21">
        <f t="shared" si="13"/>
        <v>4.6959207141254289E-2</v>
      </c>
      <c r="Z19" s="21">
        <f t="shared" si="13"/>
        <v>4.6959207141254289E-2</v>
      </c>
      <c r="AA19" s="21">
        <f t="shared" si="13"/>
        <v>4.6959207141254289E-2</v>
      </c>
      <c r="AB19" s="21">
        <f t="shared" si="13"/>
        <v>4.6959207141254289E-2</v>
      </c>
      <c r="AC19" s="21">
        <f t="shared" si="13"/>
        <v>4.6959207141254289E-2</v>
      </c>
      <c r="AD19" s="21">
        <f t="shared" si="13"/>
        <v>4.6959207141254289E-2</v>
      </c>
      <c r="AE19" s="21">
        <f t="shared" si="13"/>
        <v>4.6959207141254289E-2</v>
      </c>
      <c r="AF19" s="21">
        <f t="shared" si="13"/>
        <v>4.6959207141254289E-2</v>
      </c>
      <c r="AG19" s="21">
        <f t="shared" si="13"/>
        <v>4.6959207141254289E-2</v>
      </c>
      <c r="AH19" s="21">
        <f t="shared" si="13"/>
        <v>4.6959207141254289E-2</v>
      </c>
      <c r="AI19" s="21">
        <f t="shared" si="13"/>
        <v>4.6959207141254289E-2</v>
      </c>
      <c r="AJ19" s="21">
        <f t="shared" si="13"/>
        <v>4.6959207141254289E-2</v>
      </c>
      <c r="AK19" s="21">
        <f t="shared" si="13"/>
        <v>4.6959207141254289E-2</v>
      </c>
      <c r="AL19" s="21">
        <f t="shared" si="13"/>
        <v>4.6959207141254289E-2</v>
      </c>
      <c r="AM19" s="21">
        <f t="shared" si="13"/>
        <v>4.6959207141254289E-2</v>
      </c>
      <c r="AN19" s="21">
        <f t="shared" si="13"/>
        <v>4.6959207141254289E-2</v>
      </c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</row>
    <row r="20" spans="1:170" x14ac:dyDescent="0.3">
      <c r="A20" s="19" t="s">
        <v>65</v>
      </c>
      <c r="E20" s="80" t="s">
        <v>3</v>
      </c>
      <c r="F20" s="15">
        <f>(F18-E18)/E18</f>
        <v>-7.6219164480702012E-2</v>
      </c>
      <c r="G20" s="15">
        <f t="shared" ref="G20:AN20" si="14">(G18-F18)/F18</f>
        <v>-4.4417896428848087E-2</v>
      </c>
      <c r="H20" s="15">
        <f t="shared" si="14"/>
        <v>5.0860124208496997E-2</v>
      </c>
      <c r="I20" s="15">
        <f t="shared" si="14"/>
        <v>0.19382208015119956</v>
      </c>
      <c r="J20" s="15">
        <f t="shared" si="14"/>
        <v>-8.3158578116843851E-2</v>
      </c>
      <c r="K20" s="15">
        <f t="shared" si="14"/>
        <v>3.3113085995573027E-2</v>
      </c>
      <c r="L20" s="15">
        <f t="shared" si="14"/>
        <v>1.6432639512908003</v>
      </c>
      <c r="M20" s="15">
        <f t="shared" si="14"/>
        <v>0.43196468674853783</v>
      </c>
      <c r="N20" s="15">
        <f t="shared" si="14"/>
        <v>0</v>
      </c>
      <c r="O20" s="15">
        <f t="shared" si="14"/>
        <v>0</v>
      </c>
      <c r="P20" s="15">
        <f t="shared" si="14"/>
        <v>0</v>
      </c>
      <c r="Q20" s="15">
        <f t="shared" si="14"/>
        <v>0</v>
      </c>
      <c r="R20" s="15">
        <f t="shared" si="14"/>
        <v>0</v>
      </c>
      <c r="S20" s="15">
        <f t="shared" si="14"/>
        <v>0</v>
      </c>
      <c r="T20" s="15">
        <f t="shared" si="14"/>
        <v>0</v>
      </c>
      <c r="U20" s="15">
        <f t="shared" si="14"/>
        <v>0</v>
      </c>
      <c r="V20" s="15">
        <f t="shared" si="14"/>
        <v>0</v>
      </c>
      <c r="W20" s="15">
        <f t="shared" si="14"/>
        <v>0</v>
      </c>
      <c r="X20" s="15">
        <f t="shared" si="14"/>
        <v>0</v>
      </c>
      <c r="Y20" s="15">
        <f t="shared" si="14"/>
        <v>0</v>
      </c>
      <c r="Z20" s="15">
        <f t="shared" si="14"/>
        <v>0</v>
      </c>
      <c r="AA20" s="15">
        <f t="shared" si="14"/>
        <v>0</v>
      </c>
      <c r="AB20" s="15">
        <f t="shared" si="14"/>
        <v>0</v>
      </c>
      <c r="AC20" s="15">
        <f t="shared" si="14"/>
        <v>0</v>
      </c>
      <c r="AD20" s="15">
        <f t="shared" si="14"/>
        <v>0</v>
      </c>
      <c r="AE20" s="15">
        <f t="shared" si="14"/>
        <v>0</v>
      </c>
      <c r="AF20" s="15">
        <f t="shared" si="14"/>
        <v>0</v>
      </c>
      <c r="AG20" s="15">
        <f t="shared" si="14"/>
        <v>0</v>
      </c>
      <c r="AH20" s="15">
        <f t="shared" si="14"/>
        <v>0</v>
      </c>
      <c r="AI20" s="15">
        <f t="shared" si="14"/>
        <v>0</v>
      </c>
      <c r="AJ20" s="15">
        <f t="shared" si="14"/>
        <v>0</v>
      </c>
      <c r="AK20" s="15">
        <f t="shared" si="14"/>
        <v>0</v>
      </c>
      <c r="AL20" s="15">
        <f t="shared" si="14"/>
        <v>0</v>
      </c>
      <c r="AM20" s="15">
        <f t="shared" si="14"/>
        <v>0</v>
      </c>
      <c r="AN20" s="15">
        <f t="shared" si="14"/>
        <v>0</v>
      </c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</row>
    <row r="21" spans="1:170" x14ac:dyDescent="0.3">
      <c r="A21" s="19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</row>
    <row r="22" spans="1:170" x14ac:dyDescent="0.3">
      <c r="A22" s="1" t="s">
        <v>22</v>
      </c>
      <c r="E22" s="17">
        <v>19781518</v>
      </c>
      <c r="F22" s="17">
        <v>21640696</v>
      </c>
      <c r="G22" s="17">
        <v>22437470</v>
      </c>
      <c r="H22" s="17">
        <v>24024092</v>
      </c>
      <c r="I22" s="17">
        <v>28033807</v>
      </c>
      <c r="J22" s="17">
        <v>31130657</v>
      </c>
      <c r="K22" s="17">
        <v>34980945</v>
      </c>
      <c r="L22" s="17">
        <v>34814726</v>
      </c>
      <c r="M22" s="17">
        <f>'Výpočty-náklady'!M30</f>
        <v>48978777.960000001</v>
      </c>
      <c r="N22" s="17">
        <f>'Výpočty-náklady'!N30</f>
        <v>48978778</v>
      </c>
      <c r="O22" s="17">
        <f>'Výpočty-náklady'!O30</f>
        <v>48978778</v>
      </c>
      <c r="P22" s="17">
        <f>'Výpočty-náklady'!P30</f>
        <v>48978778</v>
      </c>
      <c r="Q22" s="17">
        <f>'Výpočty-náklady'!Q30</f>
        <v>48978778</v>
      </c>
      <c r="R22" s="17">
        <f>'Výpočty-náklady'!R30</f>
        <v>48978778</v>
      </c>
      <c r="S22" s="17">
        <f>'Výpočty-náklady'!S30</f>
        <v>48978778</v>
      </c>
      <c r="T22" s="17">
        <f>'Výpočty-náklady'!T30</f>
        <v>48978778</v>
      </c>
      <c r="U22" s="17">
        <f>'Výpočty-náklady'!U30</f>
        <v>48978778</v>
      </c>
      <c r="V22" s="17">
        <f>'Výpočty-náklady'!V30</f>
        <v>48978778</v>
      </c>
      <c r="W22" s="17">
        <f>'Výpočty-náklady'!W30</f>
        <v>48978778</v>
      </c>
      <c r="X22" s="17">
        <f>'Výpočty-náklady'!X30</f>
        <v>48978778</v>
      </c>
      <c r="Y22" s="17">
        <f>'Výpočty-náklady'!Y30</f>
        <v>48978778</v>
      </c>
      <c r="Z22" s="17">
        <f>'Výpočty-náklady'!Z30</f>
        <v>48978778</v>
      </c>
      <c r="AA22" s="17">
        <f>'Výpočty-náklady'!AA30</f>
        <v>48978778</v>
      </c>
      <c r="AB22" s="17">
        <f>'Výpočty-náklady'!AB30</f>
        <v>48978778</v>
      </c>
      <c r="AC22" s="17">
        <f>'Výpočty-náklady'!AC30</f>
        <v>48978778</v>
      </c>
      <c r="AD22" s="17">
        <f>'Výpočty-náklady'!AD30</f>
        <v>48978778</v>
      </c>
      <c r="AE22" s="17">
        <f>'Výpočty-náklady'!AE30</f>
        <v>48978778</v>
      </c>
      <c r="AF22" s="17">
        <f>'Výpočty-náklady'!AF30</f>
        <v>48978778</v>
      </c>
      <c r="AG22" s="17">
        <f>'Výpočty-náklady'!AG30</f>
        <v>48978778</v>
      </c>
      <c r="AH22" s="17">
        <f>'Výpočty-náklady'!AH30</f>
        <v>48978778</v>
      </c>
      <c r="AI22" s="17">
        <f>'Výpočty-náklady'!AI30</f>
        <v>48978778</v>
      </c>
      <c r="AJ22" s="17">
        <f>'Výpočty-náklady'!AJ30</f>
        <v>48978778</v>
      </c>
      <c r="AK22" s="17">
        <f>'Výpočty-náklady'!AK30</f>
        <v>48978778</v>
      </c>
      <c r="AL22" s="17">
        <f>'Výpočty-náklady'!AL30</f>
        <v>48978778</v>
      </c>
      <c r="AM22" s="17">
        <f>'Výpočty-náklady'!AM30</f>
        <v>48978778</v>
      </c>
      <c r="AN22" s="17">
        <f>'Výpočty-náklady'!AN30</f>
        <v>48978778</v>
      </c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</row>
    <row r="23" spans="1:170" x14ac:dyDescent="0.3">
      <c r="A23" s="19" t="s">
        <v>23</v>
      </c>
      <c r="B23" s="19"/>
      <c r="C23" s="19"/>
      <c r="E23" s="21">
        <f t="shared" ref="E23:AN23" si="15">E22/E13</f>
        <v>0.57011662976371835</v>
      </c>
      <c r="F23" s="21">
        <f t="shared" si="15"/>
        <v>0.56175302424447038</v>
      </c>
      <c r="G23" s="21">
        <f t="shared" si="15"/>
        <v>0.57163156209389421</v>
      </c>
      <c r="H23" s="21">
        <f t="shared" si="15"/>
        <v>0.58622304022439975</v>
      </c>
      <c r="I23" s="21">
        <f t="shared" si="15"/>
        <v>0.59986954020862226</v>
      </c>
      <c r="J23" s="21">
        <f t="shared" si="15"/>
        <v>0.65949781053678158</v>
      </c>
      <c r="K23" s="21">
        <f t="shared" si="15"/>
        <v>0.65109304306121807</v>
      </c>
      <c r="L23" s="21">
        <f t="shared" si="15"/>
        <v>0.62391281015534106</v>
      </c>
      <c r="M23" s="21">
        <f t="shared" si="15"/>
        <v>0.64772203119755423</v>
      </c>
      <c r="N23" s="21">
        <f t="shared" si="15"/>
        <v>0.64772203138390283</v>
      </c>
      <c r="O23" s="21">
        <f t="shared" si="15"/>
        <v>0.64772203138390283</v>
      </c>
      <c r="P23" s="21">
        <f t="shared" si="15"/>
        <v>0.64772203138390283</v>
      </c>
      <c r="Q23" s="21">
        <f t="shared" si="15"/>
        <v>0.64772203138390283</v>
      </c>
      <c r="R23" s="21">
        <f t="shared" si="15"/>
        <v>0.64772203138390283</v>
      </c>
      <c r="S23" s="21">
        <f t="shared" si="15"/>
        <v>0.64772203138390283</v>
      </c>
      <c r="T23" s="21">
        <f t="shared" si="15"/>
        <v>0.64772203138390283</v>
      </c>
      <c r="U23" s="21">
        <f t="shared" si="15"/>
        <v>0.64772203138390283</v>
      </c>
      <c r="V23" s="21">
        <f t="shared" si="15"/>
        <v>0.64772203138390283</v>
      </c>
      <c r="W23" s="21">
        <f t="shared" si="15"/>
        <v>0.64772203138390283</v>
      </c>
      <c r="X23" s="21">
        <f t="shared" si="15"/>
        <v>0.64772203138390283</v>
      </c>
      <c r="Y23" s="21">
        <f t="shared" si="15"/>
        <v>0.64772203138390283</v>
      </c>
      <c r="Z23" s="21">
        <f t="shared" si="15"/>
        <v>0.64772203138390283</v>
      </c>
      <c r="AA23" s="21">
        <f t="shared" si="15"/>
        <v>0.64772203138390283</v>
      </c>
      <c r="AB23" s="21">
        <f t="shared" si="15"/>
        <v>0.64772203138390283</v>
      </c>
      <c r="AC23" s="21">
        <f t="shared" si="15"/>
        <v>0.64772203138390283</v>
      </c>
      <c r="AD23" s="21">
        <f t="shared" si="15"/>
        <v>0.64772203138390283</v>
      </c>
      <c r="AE23" s="21">
        <f t="shared" si="15"/>
        <v>0.64772203138390283</v>
      </c>
      <c r="AF23" s="21">
        <f t="shared" si="15"/>
        <v>0.64772203138390283</v>
      </c>
      <c r="AG23" s="21">
        <f t="shared" si="15"/>
        <v>0.64772203138390283</v>
      </c>
      <c r="AH23" s="21">
        <f t="shared" si="15"/>
        <v>0.64772203138390283</v>
      </c>
      <c r="AI23" s="21">
        <f t="shared" si="15"/>
        <v>0.64772203138390283</v>
      </c>
      <c r="AJ23" s="21">
        <f t="shared" si="15"/>
        <v>0.64772203138390283</v>
      </c>
      <c r="AK23" s="21">
        <f t="shared" si="15"/>
        <v>0.64772203138390283</v>
      </c>
      <c r="AL23" s="21">
        <f t="shared" si="15"/>
        <v>0.64772203138390283</v>
      </c>
      <c r="AM23" s="21">
        <f t="shared" si="15"/>
        <v>0.64772203138390283</v>
      </c>
      <c r="AN23" s="21">
        <f t="shared" si="15"/>
        <v>0.64772203138390283</v>
      </c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</row>
    <row r="24" spans="1:170" x14ac:dyDescent="0.3">
      <c r="A24" s="74" t="s">
        <v>66</v>
      </c>
      <c r="B24" s="73"/>
      <c r="E24" s="80" t="s">
        <v>3</v>
      </c>
      <c r="F24" s="15">
        <f>(F22-E22)/E22</f>
        <v>9.3985608182344749E-2</v>
      </c>
      <c r="G24" s="15">
        <f t="shared" ref="G24:AN24" si="16">(G22-F22)/F22</f>
        <v>3.6818316749147068E-2</v>
      </c>
      <c r="H24" s="15">
        <f t="shared" si="16"/>
        <v>7.0713052763970274E-2</v>
      </c>
      <c r="I24" s="15">
        <f t="shared" si="16"/>
        <v>0.16690391462037357</v>
      </c>
      <c r="J24" s="15">
        <f t="shared" si="16"/>
        <v>0.11046840694879578</v>
      </c>
      <c r="K24" s="15">
        <f t="shared" si="16"/>
        <v>0.12368155288209946</v>
      </c>
      <c r="L24" s="15">
        <f t="shared" si="16"/>
        <v>-4.751701247636392E-3</v>
      </c>
      <c r="M24" s="15">
        <f t="shared" si="16"/>
        <v>0.40684082821734691</v>
      </c>
      <c r="N24" s="15">
        <f t="shared" si="16"/>
        <v>8.1668021890210361E-10</v>
      </c>
      <c r="O24" s="15">
        <f t="shared" si="16"/>
        <v>0</v>
      </c>
      <c r="P24" s="15">
        <f t="shared" si="16"/>
        <v>0</v>
      </c>
      <c r="Q24" s="15">
        <f t="shared" si="16"/>
        <v>0</v>
      </c>
      <c r="R24" s="15">
        <f t="shared" si="16"/>
        <v>0</v>
      </c>
      <c r="S24" s="15">
        <f t="shared" si="16"/>
        <v>0</v>
      </c>
      <c r="T24" s="15">
        <f t="shared" si="16"/>
        <v>0</v>
      </c>
      <c r="U24" s="15">
        <f t="shared" si="16"/>
        <v>0</v>
      </c>
      <c r="V24" s="15">
        <f t="shared" si="16"/>
        <v>0</v>
      </c>
      <c r="W24" s="15">
        <f t="shared" si="16"/>
        <v>0</v>
      </c>
      <c r="X24" s="15">
        <f t="shared" si="16"/>
        <v>0</v>
      </c>
      <c r="Y24" s="15">
        <f t="shared" si="16"/>
        <v>0</v>
      </c>
      <c r="Z24" s="15">
        <f t="shared" si="16"/>
        <v>0</v>
      </c>
      <c r="AA24" s="15">
        <f t="shared" si="16"/>
        <v>0</v>
      </c>
      <c r="AB24" s="15">
        <f t="shared" si="16"/>
        <v>0</v>
      </c>
      <c r="AC24" s="15">
        <f t="shared" si="16"/>
        <v>0</v>
      </c>
      <c r="AD24" s="15">
        <f t="shared" si="16"/>
        <v>0</v>
      </c>
      <c r="AE24" s="15">
        <f t="shared" si="16"/>
        <v>0</v>
      </c>
      <c r="AF24" s="15">
        <f t="shared" si="16"/>
        <v>0</v>
      </c>
      <c r="AG24" s="15">
        <f t="shared" si="16"/>
        <v>0</v>
      </c>
      <c r="AH24" s="15">
        <f t="shared" si="16"/>
        <v>0</v>
      </c>
      <c r="AI24" s="15">
        <f t="shared" si="16"/>
        <v>0</v>
      </c>
      <c r="AJ24" s="15">
        <f t="shared" si="16"/>
        <v>0</v>
      </c>
      <c r="AK24" s="15">
        <f t="shared" si="16"/>
        <v>0</v>
      </c>
      <c r="AL24" s="15">
        <f t="shared" si="16"/>
        <v>0</v>
      </c>
      <c r="AM24" s="15">
        <f t="shared" si="16"/>
        <v>0</v>
      </c>
      <c r="AN24" s="15">
        <f t="shared" si="16"/>
        <v>0</v>
      </c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</row>
    <row r="25" spans="1:170" x14ac:dyDescent="0.3"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</row>
    <row r="26" spans="1:170" x14ac:dyDescent="0.3">
      <c r="A26" s="325" t="s">
        <v>29</v>
      </c>
      <c r="B26" s="325"/>
      <c r="E26" s="17">
        <v>829368</v>
      </c>
      <c r="F26" s="17">
        <v>1102040</v>
      </c>
      <c r="G26" s="17">
        <v>672641</v>
      </c>
      <c r="H26" s="17">
        <v>814391</v>
      </c>
      <c r="I26" s="17">
        <v>797112</v>
      </c>
      <c r="J26" s="17">
        <v>695583</v>
      </c>
      <c r="K26" s="17">
        <v>784814</v>
      </c>
      <c r="L26" s="17">
        <v>834152</v>
      </c>
      <c r="M26" s="17">
        <v>959280</v>
      </c>
      <c r="N26" s="17">
        <f>'Výpočty-náklady'!N39</f>
        <v>959280</v>
      </c>
      <c r="O26" s="17">
        <f>'Výpočty-náklady'!O39</f>
        <v>959280</v>
      </c>
      <c r="P26" s="17">
        <f>'Výpočty-náklady'!P39</f>
        <v>959280</v>
      </c>
      <c r="Q26" s="17">
        <f>'Výpočty-náklady'!Q39</f>
        <v>959280</v>
      </c>
      <c r="R26" s="17">
        <f>'Výpočty-náklady'!R39</f>
        <v>959280</v>
      </c>
      <c r="S26" s="17">
        <f>'Výpočty-náklady'!S39</f>
        <v>959280</v>
      </c>
      <c r="T26" s="17">
        <f>'Výpočty-náklady'!T39</f>
        <v>959280</v>
      </c>
      <c r="U26" s="17">
        <f>'Výpočty-náklady'!U39</f>
        <v>959280</v>
      </c>
      <c r="V26" s="17">
        <f>'Výpočty-náklady'!V39</f>
        <v>959280</v>
      </c>
      <c r="W26" s="17">
        <f>'Výpočty-náklady'!W39</f>
        <v>959280</v>
      </c>
      <c r="X26" s="17">
        <f>'Výpočty-náklady'!X39</f>
        <v>959280</v>
      </c>
      <c r="Y26" s="17">
        <f>'Výpočty-náklady'!Y39</f>
        <v>959280</v>
      </c>
      <c r="Z26" s="17">
        <f>'Výpočty-náklady'!Z39</f>
        <v>959280</v>
      </c>
      <c r="AA26" s="17">
        <f>'Výpočty-náklady'!AA39</f>
        <v>959280</v>
      </c>
      <c r="AB26" s="17">
        <f>'Výpočty-náklady'!AB39</f>
        <v>959280</v>
      </c>
      <c r="AC26" s="17">
        <f>'Výpočty-náklady'!AC39</f>
        <v>959280</v>
      </c>
      <c r="AD26" s="17">
        <f>'Výpočty-náklady'!AD39</f>
        <v>959280</v>
      </c>
      <c r="AE26" s="17">
        <f>'Výpočty-náklady'!AE39</f>
        <v>959280</v>
      </c>
      <c r="AF26" s="17">
        <f>'Výpočty-náklady'!AF39</f>
        <v>959280</v>
      </c>
      <c r="AG26" s="17">
        <f>'Výpočty-náklady'!AG39</f>
        <v>959280</v>
      </c>
      <c r="AH26" s="17">
        <f>'Výpočty-náklady'!AH39</f>
        <v>959280</v>
      </c>
      <c r="AI26" s="17">
        <f>'Výpočty-náklady'!AI39</f>
        <v>959280</v>
      </c>
      <c r="AJ26" s="17">
        <f>'Výpočty-náklady'!AJ39</f>
        <v>959280</v>
      </c>
      <c r="AK26" s="17">
        <f>'Výpočty-náklady'!AK39</f>
        <v>959280</v>
      </c>
      <c r="AL26" s="17">
        <f>'Výpočty-náklady'!AL39</f>
        <v>959280</v>
      </c>
      <c r="AM26" s="17">
        <f>'Výpočty-náklady'!AM39</f>
        <v>959280</v>
      </c>
      <c r="AN26" s="17">
        <f>'Výpočty-náklady'!AN39</f>
        <v>959280</v>
      </c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</row>
    <row r="27" spans="1:170" x14ac:dyDescent="0.3">
      <c r="A27" s="34" t="s">
        <v>30</v>
      </c>
      <c r="B27" s="34"/>
      <c r="C27" s="19"/>
      <c r="D27" s="19"/>
      <c r="E27" s="21">
        <f t="shared" ref="E27:AN27" si="17">E26/E13</f>
        <v>2.3902942584784218E-2</v>
      </c>
      <c r="F27" s="21">
        <f t="shared" si="17"/>
        <v>2.8606949741282636E-2</v>
      </c>
      <c r="G27" s="21">
        <f t="shared" si="17"/>
        <v>1.7136639093373679E-2</v>
      </c>
      <c r="H27" s="21">
        <f t="shared" si="17"/>
        <v>1.987233348720897E-2</v>
      </c>
      <c r="I27" s="21">
        <f t="shared" si="17"/>
        <v>1.7056663368438519E-2</v>
      </c>
      <c r="J27" s="21">
        <f t="shared" si="17"/>
        <v>1.4735810604530645E-2</v>
      </c>
      <c r="K27" s="21">
        <f t="shared" si="17"/>
        <v>1.4607579512132872E-2</v>
      </c>
      <c r="L27" s="21">
        <f t="shared" si="17"/>
        <v>1.4948792600484579E-2</v>
      </c>
      <c r="M27" s="21">
        <f t="shared" si="17"/>
        <v>1.2686041097118255E-2</v>
      </c>
      <c r="N27" s="21">
        <f t="shared" si="17"/>
        <v>1.2686041090407571E-2</v>
      </c>
      <c r="O27" s="21">
        <f t="shared" si="17"/>
        <v>1.2686041090407571E-2</v>
      </c>
      <c r="P27" s="21">
        <f t="shared" si="17"/>
        <v>1.2686041090407571E-2</v>
      </c>
      <c r="Q27" s="21">
        <f t="shared" si="17"/>
        <v>1.2686041090407571E-2</v>
      </c>
      <c r="R27" s="21">
        <f t="shared" si="17"/>
        <v>1.2686041090407571E-2</v>
      </c>
      <c r="S27" s="21">
        <f t="shared" si="17"/>
        <v>1.2686041090407571E-2</v>
      </c>
      <c r="T27" s="21">
        <f t="shared" si="17"/>
        <v>1.2686041090407571E-2</v>
      </c>
      <c r="U27" s="21">
        <f t="shared" si="17"/>
        <v>1.2686041090407571E-2</v>
      </c>
      <c r="V27" s="21">
        <f t="shared" si="17"/>
        <v>1.2686041090407571E-2</v>
      </c>
      <c r="W27" s="21">
        <f t="shared" si="17"/>
        <v>1.2686041090407571E-2</v>
      </c>
      <c r="X27" s="21">
        <f t="shared" si="17"/>
        <v>1.2686041090407571E-2</v>
      </c>
      <c r="Y27" s="21">
        <f t="shared" si="17"/>
        <v>1.2686041090407571E-2</v>
      </c>
      <c r="Z27" s="21">
        <f t="shared" si="17"/>
        <v>1.2686041090407571E-2</v>
      </c>
      <c r="AA27" s="21">
        <f t="shared" si="17"/>
        <v>1.2686041090407571E-2</v>
      </c>
      <c r="AB27" s="21">
        <f t="shared" si="17"/>
        <v>1.2686041090407571E-2</v>
      </c>
      <c r="AC27" s="21">
        <f t="shared" si="17"/>
        <v>1.2686041090407571E-2</v>
      </c>
      <c r="AD27" s="21">
        <f t="shared" si="17"/>
        <v>1.2686041090407571E-2</v>
      </c>
      <c r="AE27" s="21">
        <f t="shared" si="17"/>
        <v>1.2686041090407571E-2</v>
      </c>
      <c r="AF27" s="21">
        <f t="shared" si="17"/>
        <v>1.2686041090407571E-2</v>
      </c>
      <c r="AG27" s="21">
        <f t="shared" si="17"/>
        <v>1.2686041090407571E-2</v>
      </c>
      <c r="AH27" s="21">
        <f t="shared" si="17"/>
        <v>1.2686041090407571E-2</v>
      </c>
      <c r="AI27" s="21">
        <f t="shared" si="17"/>
        <v>1.2686041090407571E-2</v>
      </c>
      <c r="AJ27" s="21">
        <f t="shared" si="17"/>
        <v>1.2686041090407571E-2</v>
      </c>
      <c r="AK27" s="21">
        <f t="shared" si="17"/>
        <v>1.2686041090407571E-2</v>
      </c>
      <c r="AL27" s="21">
        <f t="shared" si="17"/>
        <v>1.2686041090407571E-2</v>
      </c>
      <c r="AM27" s="21">
        <f t="shared" si="17"/>
        <v>1.2686041090407571E-2</v>
      </c>
      <c r="AN27" s="21">
        <f t="shared" si="17"/>
        <v>1.2686041090407571E-2</v>
      </c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</row>
    <row r="28" spans="1:170" x14ac:dyDescent="0.3">
      <c r="A28" s="75" t="s">
        <v>67</v>
      </c>
      <c r="B28" s="35"/>
      <c r="E28" s="80" t="s">
        <v>3</v>
      </c>
      <c r="F28" s="15">
        <f>(F26-E26)/E26</f>
        <v>0.32877082308456562</v>
      </c>
      <c r="G28" s="15">
        <f t="shared" ref="G28:AN28" si="18">(G26-F26)/F26</f>
        <v>-0.3896401219556459</v>
      </c>
      <c r="H28" s="15">
        <f t="shared" si="18"/>
        <v>0.21073648498976422</v>
      </c>
      <c r="I28" s="15">
        <f t="shared" si="18"/>
        <v>-2.1217081230023416E-2</v>
      </c>
      <c r="J28" s="15">
        <f t="shared" si="18"/>
        <v>-0.12737105952488484</v>
      </c>
      <c r="K28" s="15">
        <f t="shared" si="18"/>
        <v>0.12828231857305311</v>
      </c>
      <c r="L28" s="15">
        <f t="shared" si="18"/>
        <v>6.2865851016928848E-2</v>
      </c>
      <c r="M28" s="15">
        <f t="shared" si="18"/>
        <v>0.15000623387584036</v>
      </c>
      <c r="N28" s="15">
        <f t="shared" si="18"/>
        <v>0</v>
      </c>
      <c r="O28" s="15">
        <f t="shared" si="18"/>
        <v>0</v>
      </c>
      <c r="P28" s="15">
        <f t="shared" si="18"/>
        <v>0</v>
      </c>
      <c r="Q28" s="15">
        <f t="shared" si="18"/>
        <v>0</v>
      </c>
      <c r="R28" s="15">
        <f t="shared" si="18"/>
        <v>0</v>
      </c>
      <c r="S28" s="15">
        <f t="shared" si="18"/>
        <v>0</v>
      </c>
      <c r="T28" s="15">
        <f t="shared" si="18"/>
        <v>0</v>
      </c>
      <c r="U28" s="15">
        <f t="shared" si="18"/>
        <v>0</v>
      </c>
      <c r="V28" s="15">
        <f t="shared" si="18"/>
        <v>0</v>
      </c>
      <c r="W28" s="15">
        <f t="shared" si="18"/>
        <v>0</v>
      </c>
      <c r="X28" s="15">
        <f t="shared" si="18"/>
        <v>0</v>
      </c>
      <c r="Y28" s="15">
        <f t="shared" si="18"/>
        <v>0</v>
      </c>
      <c r="Z28" s="15">
        <f t="shared" si="18"/>
        <v>0</v>
      </c>
      <c r="AA28" s="15">
        <f t="shared" si="18"/>
        <v>0</v>
      </c>
      <c r="AB28" s="15">
        <f t="shared" si="18"/>
        <v>0</v>
      </c>
      <c r="AC28" s="15">
        <f t="shared" si="18"/>
        <v>0</v>
      </c>
      <c r="AD28" s="15">
        <f t="shared" si="18"/>
        <v>0</v>
      </c>
      <c r="AE28" s="15">
        <f t="shared" si="18"/>
        <v>0</v>
      </c>
      <c r="AF28" s="15">
        <f t="shared" si="18"/>
        <v>0</v>
      </c>
      <c r="AG28" s="15">
        <f t="shared" si="18"/>
        <v>0</v>
      </c>
      <c r="AH28" s="15">
        <f t="shared" si="18"/>
        <v>0</v>
      </c>
      <c r="AI28" s="15">
        <f t="shared" si="18"/>
        <v>0</v>
      </c>
      <c r="AJ28" s="15">
        <f t="shared" si="18"/>
        <v>0</v>
      </c>
      <c r="AK28" s="15">
        <f t="shared" si="18"/>
        <v>0</v>
      </c>
      <c r="AL28" s="15">
        <f t="shared" si="18"/>
        <v>0</v>
      </c>
      <c r="AM28" s="15">
        <f t="shared" si="18"/>
        <v>0</v>
      </c>
      <c r="AN28" s="15">
        <f t="shared" si="18"/>
        <v>0</v>
      </c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</row>
    <row r="29" spans="1:170" x14ac:dyDescent="0.3">
      <c r="A29" s="75"/>
      <c r="B29" s="35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</row>
    <row r="30" spans="1:170" x14ac:dyDescent="0.3">
      <c r="A30" s="325" t="s">
        <v>31</v>
      </c>
      <c r="B30" s="325"/>
      <c r="E30" s="17">
        <v>2441149</v>
      </c>
      <c r="F30" s="17">
        <v>2578108</v>
      </c>
      <c r="G30" s="17">
        <v>2600122</v>
      </c>
      <c r="H30" s="17">
        <v>2907040</v>
      </c>
      <c r="I30" s="17">
        <v>3105273</v>
      </c>
      <c r="J30" s="17">
        <v>2728798</v>
      </c>
      <c r="K30" s="36">
        <v>2952173</v>
      </c>
      <c r="L30" s="17">
        <v>3248925</v>
      </c>
      <c r="M30" s="17">
        <v>3736260</v>
      </c>
      <c r="N30" s="17">
        <f>'Výpočty-náklady'!N42</f>
        <v>3736260</v>
      </c>
      <c r="O30" s="17">
        <f>'Výpočty-náklady'!O42</f>
        <v>3736260</v>
      </c>
      <c r="P30" s="17">
        <f>'Výpočty-náklady'!P42</f>
        <v>3736260</v>
      </c>
      <c r="Q30" s="17">
        <f>'Výpočty-náklady'!Q42</f>
        <v>3736260</v>
      </c>
      <c r="R30" s="17">
        <f>'Výpočty-náklady'!R42</f>
        <v>3736260</v>
      </c>
      <c r="S30" s="17">
        <f>'Výpočty-náklady'!S42</f>
        <v>3736260</v>
      </c>
      <c r="T30" s="17">
        <f>'Výpočty-náklady'!T42</f>
        <v>3736260</v>
      </c>
      <c r="U30" s="17">
        <f>'Výpočty-náklady'!U42</f>
        <v>3736260</v>
      </c>
      <c r="V30" s="17">
        <f>'Výpočty-náklady'!V42</f>
        <v>3736260</v>
      </c>
      <c r="W30" s="17">
        <f>'Výpočty-náklady'!W42</f>
        <v>3736260</v>
      </c>
      <c r="X30" s="17">
        <f>'Výpočty-náklady'!X42</f>
        <v>3736260</v>
      </c>
      <c r="Y30" s="17">
        <f>'Výpočty-náklady'!Y42</f>
        <v>3736260</v>
      </c>
      <c r="Z30" s="17">
        <f>'Výpočty-náklady'!Z42</f>
        <v>3736260</v>
      </c>
      <c r="AA30" s="17">
        <f>'Výpočty-náklady'!AA42</f>
        <v>3736260</v>
      </c>
      <c r="AB30" s="17">
        <f>'Výpočty-náklady'!AB42</f>
        <v>3736260</v>
      </c>
      <c r="AC30" s="17">
        <f>'Výpočty-náklady'!AC42</f>
        <v>3736260</v>
      </c>
      <c r="AD30" s="17">
        <f>'Výpočty-náklady'!AD42</f>
        <v>3736260</v>
      </c>
      <c r="AE30" s="17">
        <f>'Výpočty-náklady'!AE42</f>
        <v>3736260</v>
      </c>
      <c r="AF30" s="17">
        <f>'Výpočty-náklady'!AF42</f>
        <v>3736260</v>
      </c>
      <c r="AG30" s="17">
        <f>'Výpočty-náklady'!AG42</f>
        <v>3736260</v>
      </c>
      <c r="AH30" s="17">
        <f>'Výpočty-náklady'!AH42</f>
        <v>3736260</v>
      </c>
      <c r="AI30" s="17">
        <f>'Výpočty-náklady'!AI42</f>
        <v>3736260</v>
      </c>
      <c r="AJ30" s="17">
        <f>'Výpočty-náklady'!AJ42</f>
        <v>3736260</v>
      </c>
      <c r="AK30" s="17">
        <f>'Výpočty-náklady'!AK42</f>
        <v>3736260</v>
      </c>
      <c r="AL30" s="17">
        <f>'Výpočty-náklady'!AL42</f>
        <v>3736260</v>
      </c>
      <c r="AM30" s="17">
        <f>'Výpočty-náklady'!AM42</f>
        <v>3736260</v>
      </c>
      <c r="AN30" s="17">
        <f>'Výpočty-náklady'!AN42</f>
        <v>3736260</v>
      </c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</row>
    <row r="31" spans="1:170" x14ac:dyDescent="0.3">
      <c r="A31" s="37" t="s">
        <v>68</v>
      </c>
      <c r="B31" s="37"/>
      <c r="E31" s="21">
        <f t="shared" ref="E31:AN31" si="19">E30/E13</f>
        <v>7.0355553129495485E-2</v>
      </c>
      <c r="F31" s="21">
        <f t="shared" si="19"/>
        <v>6.6922984631772611E-2</v>
      </c>
      <c r="G31" s="21">
        <f t="shared" si="19"/>
        <v>6.624239722636735E-2</v>
      </c>
      <c r="H31" s="21">
        <f t="shared" si="19"/>
        <v>7.0936034829284664E-2</v>
      </c>
      <c r="I31" s="21">
        <f t="shared" si="19"/>
        <v>6.644686848034051E-2</v>
      </c>
      <c r="J31" s="21">
        <f t="shared" si="19"/>
        <v>5.7809133498118864E-2</v>
      </c>
      <c r="K31" s="38">
        <f t="shared" si="19"/>
        <v>5.4948181137278181E-2</v>
      </c>
      <c r="L31" s="38">
        <f t="shared" si="19"/>
        <v>5.8223808130328E-2</v>
      </c>
      <c r="M31" s="38">
        <f t="shared" si="19"/>
        <v>4.9410336825034457E-2</v>
      </c>
      <c r="N31" s="38">
        <f t="shared" si="19"/>
        <v>4.9410336798897288E-2</v>
      </c>
      <c r="O31" s="38">
        <f t="shared" si="19"/>
        <v>4.9410336798897288E-2</v>
      </c>
      <c r="P31" s="38">
        <f t="shared" si="19"/>
        <v>4.9410336798897288E-2</v>
      </c>
      <c r="Q31" s="38">
        <f t="shared" si="19"/>
        <v>4.9410336798897288E-2</v>
      </c>
      <c r="R31" s="38">
        <f t="shared" si="19"/>
        <v>4.9410336798897288E-2</v>
      </c>
      <c r="S31" s="38">
        <f t="shared" si="19"/>
        <v>4.9410336798897288E-2</v>
      </c>
      <c r="T31" s="38">
        <f t="shared" si="19"/>
        <v>4.9410336798897288E-2</v>
      </c>
      <c r="U31" s="38">
        <f t="shared" si="19"/>
        <v>4.9410336798897288E-2</v>
      </c>
      <c r="V31" s="38">
        <f t="shared" si="19"/>
        <v>4.9410336798897288E-2</v>
      </c>
      <c r="W31" s="38">
        <f t="shared" si="19"/>
        <v>4.9410336798897288E-2</v>
      </c>
      <c r="X31" s="38">
        <f t="shared" si="19"/>
        <v>4.9410336798897288E-2</v>
      </c>
      <c r="Y31" s="38">
        <f t="shared" si="19"/>
        <v>4.9410336798897288E-2</v>
      </c>
      <c r="Z31" s="38">
        <f t="shared" si="19"/>
        <v>4.9410336798897288E-2</v>
      </c>
      <c r="AA31" s="38">
        <f t="shared" si="19"/>
        <v>4.9410336798897288E-2</v>
      </c>
      <c r="AB31" s="38">
        <f t="shared" si="19"/>
        <v>4.9410336798897288E-2</v>
      </c>
      <c r="AC31" s="38">
        <f t="shared" si="19"/>
        <v>4.9410336798897288E-2</v>
      </c>
      <c r="AD31" s="38">
        <f t="shared" si="19"/>
        <v>4.9410336798897288E-2</v>
      </c>
      <c r="AE31" s="38">
        <f t="shared" si="19"/>
        <v>4.9410336798897288E-2</v>
      </c>
      <c r="AF31" s="38">
        <f t="shared" si="19"/>
        <v>4.9410336798897288E-2</v>
      </c>
      <c r="AG31" s="38">
        <f t="shared" si="19"/>
        <v>4.9410336798897288E-2</v>
      </c>
      <c r="AH31" s="38">
        <f t="shared" si="19"/>
        <v>4.9410336798897288E-2</v>
      </c>
      <c r="AI31" s="38">
        <f t="shared" si="19"/>
        <v>4.9410336798897288E-2</v>
      </c>
      <c r="AJ31" s="38">
        <f t="shared" si="19"/>
        <v>4.9410336798897288E-2</v>
      </c>
      <c r="AK31" s="38">
        <f t="shared" si="19"/>
        <v>4.9410336798897288E-2</v>
      </c>
      <c r="AL31" s="38">
        <f t="shared" si="19"/>
        <v>4.9410336798897288E-2</v>
      </c>
      <c r="AM31" s="38">
        <f t="shared" si="19"/>
        <v>4.9410336798897288E-2</v>
      </c>
      <c r="AN31" s="38">
        <f t="shared" si="19"/>
        <v>4.9410336798897288E-2</v>
      </c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</row>
    <row r="32" spans="1:170" x14ac:dyDescent="0.3">
      <c r="A32" s="75" t="s">
        <v>69</v>
      </c>
      <c r="B32" s="35"/>
      <c r="E32" s="80" t="s">
        <v>3</v>
      </c>
      <c r="F32" s="15">
        <f>(F30-E30)/E30</f>
        <v>5.610431808955537E-2</v>
      </c>
      <c r="G32" s="15">
        <f t="shared" ref="G32:AN32" si="20">(G30-F30)/F30</f>
        <v>8.5388199408248221E-3</v>
      </c>
      <c r="H32" s="15">
        <f t="shared" si="20"/>
        <v>0.11803984582261909</v>
      </c>
      <c r="I32" s="15">
        <f t="shared" si="20"/>
        <v>6.8190668171060592E-2</v>
      </c>
      <c r="J32" s="15">
        <f t="shared" si="20"/>
        <v>-0.12123732760372437</v>
      </c>
      <c r="K32" s="15">
        <f t="shared" si="20"/>
        <v>8.1858385999989736E-2</v>
      </c>
      <c r="L32" s="15">
        <f t="shared" si="20"/>
        <v>0.10051985435812874</v>
      </c>
      <c r="M32" s="15">
        <f t="shared" si="20"/>
        <v>0.14999884577206307</v>
      </c>
      <c r="N32" s="15">
        <f t="shared" si="20"/>
        <v>0</v>
      </c>
      <c r="O32" s="15">
        <f t="shared" si="20"/>
        <v>0</v>
      </c>
      <c r="P32" s="15">
        <f t="shared" si="20"/>
        <v>0</v>
      </c>
      <c r="Q32" s="15">
        <f t="shared" si="20"/>
        <v>0</v>
      </c>
      <c r="R32" s="15">
        <f t="shared" si="20"/>
        <v>0</v>
      </c>
      <c r="S32" s="15">
        <f t="shared" si="20"/>
        <v>0</v>
      </c>
      <c r="T32" s="15">
        <f t="shared" si="20"/>
        <v>0</v>
      </c>
      <c r="U32" s="15">
        <f t="shared" si="20"/>
        <v>0</v>
      </c>
      <c r="V32" s="15">
        <f t="shared" si="20"/>
        <v>0</v>
      </c>
      <c r="W32" s="15">
        <f t="shared" si="20"/>
        <v>0</v>
      </c>
      <c r="X32" s="15">
        <f t="shared" si="20"/>
        <v>0</v>
      </c>
      <c r="Y32" s="15">
        <f t="shared" si="20"/>
        <v>0</v>
      </c>
      <c r="Z32" s="15">
        <f t="shared" si="20"/>
        <v>0</v>
      </c>
      <c r="AA32" s="15">
        <f t="shared" si="20"/>
        <v>0</v>
      </c>
      <c r="AB32" s="15">
        <f t="shared" si="20"/>
        <v>0</v>
      </c>
      <c r="AC32" s="15">
        <f t="shared" si="20"/>
        <v>0</v>
      </c>
      <c r="AD32" s="15">
        <f t="shared" si="20"/>
        <v>0</v>
      </c>
      <c r="AE32" s="15">
        <f t="shared" si="20"/>
        <v>0</v>
      </c>
      <c r="AF32" s="15">
        <f t="shared" si="20"/>
        <v>0</v>
      </c>
      <c r="AG32" s="15">
        <f t="shared" si="20"/>
        <v>0</v>
      </c>
      <c r="AH32" s="15">
        <f t="shared" si="20"/>
        <v>0</v>
      </c>
      <c r="AI32" s="15">
        <f t="shared" si="20"/>
        <v>0</v>
      </c>
      <c r="AJ32" s="15">
        <f t="shared" si="20"/>
        <v>0</v>
      </c>
      <c r="AK32" s="15">
        <f t="shared" si="20"/>
        <v>0</v>
      </c>
      <c r="AL32" s="15">
        <f t="shared" si="20"/>
        <v>0</v>
      </c>
      <c r="AM32" s="15">
        <f t="shared" si="20"/>
        <v>0</v>
      </c>
      <c r="AN32" s="15">
        <f t="shared" si="20"/>
        <v>0</v>
      </c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</row>
    <row r="33" spans="1:170" x14ac:dyDescent="0.3">
      <c r="A33" s="75"/>
      <c r="B33" s="35"/>
      <c r="E33" s="17"/>
      <c r="F33" s="17"/>
      <c r="G33" s="17"/>
      <c r="H33" s="17"/>
      <c r="I33" s="17"/>
      <c r="J33" s="17"/>
      <c r="K33" s="36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</row>
    <row r="34" spans="1:170" x14ac:dyDescent="0.3">
      <c r="A34" s="325" t="s">
        <v>33</v>
      </c>
      <c r="B34" s="325"/>
      <c r="E34" s="17">
        <f>'Výpočty-náklady'!E45</f>
        <v>2515008</v>
      </c>
      <c r="F34" s="17">
        <f>'Výpočty-náklady'!F45</f>
        <v>2807177</v>
      </c>
      <c r="G34" s="17">
        <f>'Výpočty-náklady'!G45</f>
        <v>2882523</v>
      </c>
      <c r="H34" s="17">
        <f>'Výpočty-náklady'!H45</f>
        <v>2890546</v>
      </c>
      <c r="I34" s="17">
        <f>'Výpočty-náklady'!I45</f>
        <v>3188522</v>
      </c>
      <c r="J34" s="17">
        <f>'Výpočty-náklady'!J45</f>
        <v>3055778</v>
      </c>
      <c r="K34" s="17">
        <f>'Výpočty-náklady'!K45</f>
        <v>3097226.74</v>
      </c>
      <c r="L34" s="17">
        <f>'Výpočty-náklady'!L45</f>
        <v>3920723</v>
      </c>
      <c r="M34" s="17">
        <f>'Výpočty-náklady'!M45</f>
        <v>4411433</v>
      </c>
      <c r="N34" s="17">
        <f>'Výpočty-náklady'!N45</f>
        <v>4411433</v>
      </c>
      <c r="O34" s="17">
        <f>'Výpočty-náklady'!O45</f>
        <v>4411433</v>
      </c>
      <c r="P34" s="17">
        <f>'Výpočty-náklady'!P45</f>
        <v>4411433</v>
      </c>
      <c r="Q34" s="17">
        <f>'Výpočty-náklady'!Q45</f>
        <v>4411433</v>
      </c>
      <c r="R34" s="17">
        <f>'Výpočty-náklady'!R45</f>
        <v>4411433</v>
      </c>
      <c r="S34" s="17">
        <f>'Výpočty-náklady'!S45</f>
        <v>4411433</v>
      </c>
      <c r="T34" s="17">
        <f>'Výpočty-náklady'!T45</f>
        <v>4411433</v>
      </c>
      <c r="U34" s="17">
        <f>'Výpočty-náklady'!U45</f>
        <v>4411433</v>
      </c>
      <c r="V34" s="17">
        <f>'Výpočty-náklady'!V45</f>
        <v>4411433</v>
      </c>
      <c r="W34" s="17">
        <f>'Výpočty-náklady'!W45</f>
        <v>4411433</v>
      </c>
      <c r="X34" s="17">
        <f>'Výpočty-náklady'!X45</f>
        <v>4411433</v>
      </c>
      <c r="Y34" s="17">
        <f>'Výpočty-náklady'!Y45</f>
        <v>4411433</v>
      </c>
      <c r="Z34" s="17">
        <f>'Výpočty-náklady'!Z45</f>
        <v>4411433</v>
      </c>
      <c r="AA34" s="17">
        <f>'Výpočty-náklady'!AA45</f>
        <v>4411433</v>
      </c>
      <c r="AB34" s="17">
        <f>'Výpočty-náklady'!AB45</f>
        <v>4411433</v>
      </c>
      <c r="AC34" s="17">
        <f>'Výpočty-náklady'!AC45</f>
        <v>4411433</v>
      </c>
      <c r="AD34" s="17">
        <f>'Výpočty-náklady'!AD45</f>
        <v>4411433</v>
      </c>
      <c r="AE34" s="17">
        <f>'Výpočty-náklady'!AE45</f>
        <v>4411433</v>
      </c>
      <c r="AF34" s="17">
        <f>'Výpočty-náklady'!AF45</f>
        <v>4411433</v>
      </c>
      <c r="AG34" s="17">
        <f>'Výpočty-náklady'!AG45</f>
        <v>4411433</v>
      </c>
      <c r="AH34" s="17">
        <f>'Výpočty-náklady'!AH45</f>
        <v>4411433</v>
      </c>
      <c r="AI34" s="17">
        <f>'Výpočty-náklady'!AI45</f>
        <v>4411433</v>
      </c>
      <c r="AJ34" s="17">
        <f>'Výpočty-náklady'!AJ45</f>
        <v>4411433</v>
      </c>
      <c r="AK34" s="17">
        <f>'Výpočty-náklady'!AK45</f>
        <v>4411433</v>
      </c>
      <c r="AL34" s="17">
        <f>'Výpočty-náklady'!AL45</f>
        <v>4411433</v>
      </c>
      <c r="AM34" s="17">
        <f>'Výpočty-náklady'!AM45</f>
        <v>4411433</v>
      </c>
      <c r="AN34" s="17">
        <f>'Výpočty-náklady'!AN45</f>
        <v>4411433</v>
      </c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</row>
    <row r="35" spans="1:170" x14ac:dyDescent="0.3">
      <c r="A35" s="34" t="s">
        <v>34</v>
      </c>
      <c r="B35" s="34"/>
      <c r="C35" s="19"/>
      <c r="E35" s="21">
        <f>E34/E13</f>
        <v>7.2484219097280089E-2</v>
      </c>
      <c r="F35" s="21">
        <f>F34/F13</f>
        <v>7.2869198353856995E-2</v>
      </c>
      <c r="G35" s="21">
        <f>G34/G13</f>
        <v>7.3437028562559792E-2</v>
      </c>
      <c r="H35" s="21">
        <f>H34/H13</f>
        <v>7.0533557065485669E-2</v>
      </c>
      <c r="I35" s="21">
        <f>I34/I13</f>
        <v>6.8228236931397748E-2</v>
      </c>
      <c r="J35" s="21"/>
      <c r="K35" s="21">
        <f t="shared" ref="K35:AN35" si="21">K34/K13</f>
        <v>5.7648036186477417E-2</v>
      </c>
      <c r="L35" s="21">
        <f t="shared" si="21"/>
        <v>7.0263063531526268E-2</v>
      </c>
      <c r="M35" s="21">
        <f t="shared" si="21"/>
        <v>5.8339192243332165E-2</v>
      </c>
      <c r="N35" s="21">
        <f t="shared" si="21"/>
        <v>5.8339192212471788E-2</v>
      </c>
      <c r="O35" s="21">
        <f t="shared" si="21"/>
        <v>5.8339192212471788E-2</v>
      </c>
      <c r="P35" s="21">
        <f t="shared" si="21"/>
        <v>5.8339192212471788E-2</v>
      </c>
      <c r="Q35" s="21">
        <f t="shared" si="21"/>
        <v>5.8339192212471788E-2</v>
      </c>
      <c r="R35" s="21">
        <f t="shared" si="21"/>
        <v>5.8339192212471788E-2</v>
      </c>
      <c r="S35" s="21">
        <f t="shared" si="21"/>
        <v>5.8339192212471788E-2</v>
      </c>
      <c r="T35" s="21">
        <f t="shared" si="21"/>
        <v>5.8339192212471788E-2</v>
      </c>
      <c r="U35" s="21">
        <f t="shared" si="21"/>
        <v>5.8339192212471788E-2</v>
      </c>
      <c r="V35" s="21">
        <f t="shared" si="21"/>
        <v>5.8339192212471788E-2</v>
      </c>
      <c r="W35" s="21">
        <f t="shared" si="21"/>
        <v>5.8339192212471788E-2</v>
      </c>
      <c r="X35" s="21">
        <f t="shared" si="21"/>
        <v>5.8339192212471788E-2</v>
      </c>
      <c r="Y35" s="21">
        <f t="shared" si="21"/>
        <v>5.8339192212471788E-2</v>
      </c>
      <c r="Z35" s="21">
        <f t="shared" si="21"/>
        <v>5.8339192212471788E-2</v>
      </c>
      <c r="AA35" s="21">
        <f t="shared" si="21"/>
        <v>5.8339192212471788E-2</v>
      </c>
      <c r="AB35" s="21">
        <f t="shared" si="21"/>
        <v>5.8339192212471788E-2</v>
      </c>
      <c r="AC35" s="21">
        <f t="shared" si="21"/>
        <v>5.8339192212471788E-2</v>
      </c>
      <c r="AD35" s="21">
        <f t="shared" si="21"/>
        <v>5.8339192212471788E-2</v>
      </c>
      <c r="AE35" s="21">
        <f t="shared" si="21"/>
        <v>5.8339192212471788E-2</v>
      </c>
      <c r="AF35" s="21">
        <f t="shared" si="21"/>
        <v>5.8339192212471788E-2</v>
      </c>
      <c r="AG35" s="21">
        <f t="shared" si="21"/>
        <v>5.8339192212471788E-2</v>
      </c>
      <c r="AH35" s="21">
        <f t="shared" si="21"/>
        <v>5.8339192212471788E-2</v>
      </c>
      <c r="AI35" s="21">
        <f t="shared" si="21"/>
        <v>5.8339192212471788E-2</v>
      </c>
      <c r="AJ35" s="21">
        <f t="shared" si="21"/>
        <v>5.8339192212471788E-2</v>
      </c>
      <c r="AK35" s="21">
        <f t="shared" si="21"/>
        <v>5.8339192212471788E-2</v>
      </c>
      <c r="AL35" s="21">
        <f t="shared" si="21"/>
        <v>5.8339192212471788E-2</v>
      </c>
      <c r="AM35" s="21">
        <f t="shared" si="21"/>
        <v>5.8339192212471788E-2</v>
      </c>
      <c r="AN35" s="21">
        <f t="shared" si="21"/>
        <v>5.8339192212471788E-2</v>
      </c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</row>
    <row r="36" spans="1:170" x14ac:dyDescent="0.3">
      <c r="A36" s="75" t="s">
        <v>70</v>
      </c>
      <c r="B36" s="75"/>
      <c r="E36" s="80" t="s">
        <v>3</v>
      </c>
      <c r="F36" s="15">
        <f>(F34-E34)/E34</f>
        <v>0.116170207013258</v>
      </c>
      <c r="G36" s="15">
        <f t="shared" ref="G36:AN36" si="22">(G34-F34)/F34</f>
        <v>2.6840487792540335E-2</v>
      </c>
      <c r="H36" s="15">
        <f t="shared" si="22"/>
        <v>2.7833255797091645E-3</v>
      </c>
      <c r="I36" s="15">
        <f t="shared" si="22"/>
        <v>0.10308640651281799</v>
      </c>
      <c r="J36" s="15">
        <f t="shared" si="22"/>
        <v>-4.1631828163644476E-2</v>
      </c>
      <c r="K36" s="15">
        <f t="shared" si="22"/>
        <v>1.3564054718634738E-2</v>
      </c>
      <c r="L36" s="15">
        <f t="shared" si="22"/>
        <v>0.26588181270835848</v>
      </c>
      <c r="M36" s="15">
        <f t="shared" si="22"/>
        <v>0.12515803845362194</v>
      </c>
      <c r="N36" s="15">
        <f t="shared" si="22"/>
        <v>0</v>
      </c>
      <c r="O36" s="15">
        <f t="shared" si="22"/>
        <v>0</v>
      </c>
      <c r="P36" s="15">
        <f t="shared" si="22"/>
        <v>0</v>
      </c>
      <c r="Q36" s="15">
        <f t="shared" si="22"/>
        <v>0</v>
      </c>
      <c r="R36" s="15">
        <f t="shared" si="22"/>
        <v>0</v>
      </c>
      <c r="S36" s="15">
        <f t="shared" si="22"/>
        <v>0</v>
      </c>
      <c r="T36" s="15">
        <f t="shared" si="22"/>
        <v>0</v>
      </c>
      <c r="U36" s="15">
        <f t="shared" si="22"/>
        <v>0</v>
      </c>
      <c r="V36" s="15">
        <f t="shared" si="22"/>
        <v>0</v>
      </c>
      <c r="W36" s="15">
        <f t="shared" si="22"/>
        <v>0</v>
      </c>
      <c r="X36" s="15">
        <f t="shared" si="22"/>
        <v>0</v>
      </c>
      <c r="Y36" s="15">
        <f t="shared" si="22"/>
        <v>0</v>
      </c>
      <c r="Z36" s="15">
        <f t="shared" si="22"/>
        <v>0</v>
      </c>
      <c r="AA36" s="15">
        <f t="shared" si="22"/>
        <v>0</v>
      </c>
      <c r="AB36" s="15">
        <f t="shared" si="22"/>
        <v>0</v>
      </c>
      <c r="AC36" s="15">
        <f t="shared" si="22"/>
        <v>0</v>
      </c>
      <c r="AD36" s="15">
        <f t="shared" si="22"/>
        <v>0</v>
      </c>
      <c r="AE36" s="15">
        <f t="shared" si="22"/>
        <v>0</v>
      </c>
      <c r="AF36" s="15">
        <f t="shared" si="22"/>
        <v>0</v>
      </c>
      <c r="AG36" s="15">
        <f t="shared" si="22"/>
        <v>0</v>
      </c>
      <c r="AH36" s="15">
        <f t="shared" si="22"/>
        <v>0</v>
      </c>
      <c r="AI36" s="15">
        <f t="shared" si="22"/>
        <v>0</v>
      </c>
      <c r="AJ36" s="15">
        <f t="shared" si="22"/>
        <v>0</v>
      </c>
      <c r="AK36" s="15">
        <f t="shared" si="22"/>
        <v>0</v>
      </c>
      <c r="AL36" s="15">
        <f t="shared" si="22"/>
        <v>0</v>
      </c>
      <c r="AM36" s="15">
        <f t="shared" si="22"/>
        <v>0</v>
      </c>
      <c r="AN36" s="15">
        <f t="shared" si="22"/>
        <v>0</v>
      </c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</row>
    <row r="37" spans="1:170" x14ac:dyDescent="0.3"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</row>
    <row r="38" spans="1:170" s="46" customFormat="1" x14ac:dyDescent="0.3">
      <c r="A38" s="45" t="s">
        <v>50</v>
      </c>
      <c r="E38" s="47">
        <f t="shared" ref="E38:AN38" si="23">E6-E13</f>
        <v>4460236</v>
      </c>
      <c r="F38" s="47">
        <f t="shared" si="23"/>
        <v>3417897</v>
      </c>
      <c r="G38" s="47">
        <f t="shared" si="23"/>
        <v>3214595</v>
      </c>
      <c r="H38" s="47">
        <f t="shared" si="23"/>
        <v>3121332</v>
      </c>
      <c r="I38" s="47">
        <f t="shared" si="23"/>
        <v>2671582</v>
      </c>
      <c r="J38" s="47">
        <f t="shared" si="23"/>
        <v>2590487</v>
      </c>
      <c r="K38" s="47">
        <f t="shared" si="23"/>
        <v>2541228.2599999979</v>
      </c>
      <c r="L38" s="76">
        <f t="shared" si="23"/>
        <v>2335524</v>
      </c>
      <c r="M38" s="76">
        <f t="shared" si="23"/>
        <v>2569320.1376000047</v>
      </c>
      <c r="N38" s="76">
        <f t="shared" si="23"/>
        <v>2569320.0975999981</v>
      </c>
      <c r="O38" s="76">
        <f t="shared" si="23"/>
        <v>2569320.0975999981</v>
      </c>
      <c r="P38" s="76">
        <f t="shared" si="23"/>
        <v>2569320.0975999981</v>
      </c>
      <c r="Q38" s="76">
        <f t="shared" si="23"/>
        <v>2569320.0975999981</v>
      </c>
      <c r="R38" s="76">
        <f t="shared" si="23"/>
        <v>2569320.0975999981</v>
      </c>
      <c r="S38" s="76">
        <f t="shared" si="23"/>
        <v>2569320.0975999981</v>
      </c>
      <c r="T38" s="76">
        <f t="shared" si="23"/>
        <v>2569320.0975999981</v>
      </c>
      <c r="U38" s="76">
        <f t="shared" si="23"/>
        <v>2569320.0975999981</v>
      </c>
      <c r="V38" s="76">
        <f t="shared" si="23"/>
        <v>2569320.0975999981</v>
      </c>
      <c r="W38" s="76">
        <f t="shared" si="23"/>
        <v>2569320.0975999981</v>
      </c>
      <c r="X38" s="76">
        <f t="shared" si="23"/>
        <v>2569320.0975999981</v>
      </c>
      <c r="Y38" s="76">
        <f t="shared" si="23"/>
        <v>2569320.0975999981</v>
      </c>
      <c r="Z38" s="76">
        <f t="shared" si="23"/>
        <v>2569320.0975999981</v>
      </c>
      <c r="AA38" s="76">
        <f t="shared" si="23"/>
        <v>2569320.0975999981</v>
      </c>
      <c r="AB38" s="76">
        <f t="shared" si="23"/>
        <v>2569320.0975999981</v>
      </c>
      <c r="AC38" s="76">
        <f t="shared" si="23"/>
        <v>2569320.0975999981</v>
      </c>
      <c r="AD38" s="76">
        <f t="shared" si="23"/>
        <v>2569320.0975999981</v>
      </c>
      <c r="AE38" s="76">
        <f t="shared" si="23"/>
        <v>2569320.0975999981</v>
      </c>
      <c r="AF38" s="76">
        <f t="shared" si="23"/>
        <v>2569320.0975999981</v>
      </c>
      <c r="AG38" s="76">
        <f t="shared" si="23"/>
        <v>2569320.0975999981</v>
      </c>
      <c r="AH38" s="76">
        <f t="shared" si="23"/>
        <v>2569320.0975999981</v>
      </c>
      <c r="AI38" s="76">
        <f t="shared" si="23"/>
        <v>2569320.0975999981</v>
      </c>
      <c r="AJ38" s="76">
        <f t="shared" si="23"/>
        <v>2569320.0975999981</v>
      </c>
      <c r="AK38" s="76">
        <f t="shared" si="23"/>
        <v>2569320.0975999981</v>
      </c>
      <c r="AL38" s="76">
        <f t="shared" si="23"/>
        <v>2569320.0975999981</v>
      </c>
      <c r="AM38" s="76">
        <f t="shared" si="23"/>
        <v>2569320.0975999981</v>
      </c>
      <c r="AN38" s="76">
        <f t="shared" si="23"/>
        <v>2569320.0975999981</v>
      </c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8"/>
      <c r="CA38" s="48"/>
      <c r="CB38" s="48"/>
      <c r="CC38" s="48"/>
      <c r="CD38" s="48"/>
      <c r="CE38" s="48"/>
      <c r="CF38" s="48"/>
      <c r="CG38" s="48"/>
      <c r="CH38" s="48"/>
      <c r="CI38" s="48"/>
      <c r="CJ38" s="48"/>
      <c r="CK38" s="48"/>
      <c r="CL38" s="48"/>
      <c r="CM38" s="48"/>
      <c r="CN38" s="48"/>
      <c r="CO38" s="48"/>
      <c r="CP38" s="48"/>
      <c r="CQ38" s="48"/>
      <c r="CR38" s="48"/>
      <c r="CS38" s="48"/>
      <c r="CT38" s="48"/>
      <c r="CU38" s="48"/>
      <c r="CV38" s="48"/>
      <c r="CW38" s="48"/>
      <c r="CX38" s="48"/>
      <c r="CY38" s="48"/>
      <c r="CZ38" s="48"/>
      <c r="DA38" s="48"/>
      <c r="DB38" s="48"/>
      <c r="DC38" s="48"/>
      <c r="DD38" s="48"/>
      <c r="DE38" s="48"/>
      <c r="DF38" s="48"/>
      <c r="DG38" s="48"/>
      <c r="DH38" s="48"/>
      <c r="DI38" s="48"/>
      <c r="DJ38" s="48"/>
      <c r="DK38" s="48"/>
      <c r="DL38" s="48"/>
      <c r="DM38" s="48"/>
      <c r="DN38" s="48"/>
      <c r="DO38" s="48"/>
      <c r="DP38" s="48"/>
      <c r="DQ38" s="48"/>
      <c r="DR38" s="48"/>
      <c r="DS38" s="48"/>
      <c r="DT38" s="48"/>
      <c r="DU38" s="48"/>
      <c r="DV38" s="48"/>
      <c r="DW38" s="48"/>
      <c r="DX38" s="48"/>
      <c r="DY38" s="48"/>
      <c r="DZ38" s="48"/>
      <c r="EA38" s="48"/>
      <c r="EB38" s="48"/>
      <c r="EC38" s="48"/>
      <c r="ED38" s="48"/>
      <c r="EE38" s="48"/>
      <c r="EF38" s="48"/>
      <c r="EG38" s="48"/>
      <c r="EH38" s="48"/>
      <c r="EI38" s="48"/>
      <c r="EJ38" s="48"/>
      <c r="EK38" s="48"/>
      <c r="EL38" s="48"/>
      <c r="EM38" s="48"/>
      <c r="EN38" s="48"/>
      <c r="EO38" s="48"/>
      <c r="EP38" s="48"/>
      <c r="EQ38" s="48"/>
      <c r="ER38" s="48"/>
      <c r="ES38" s="48"/>
      <c r="ET38" s="48"/>
      <c r="EU38" s="48"/>
      <c r="EV38" s="48"/>
      <c r="EW38" s="48"/>
      <c r="EX38" s="48"/>
      <c r="EY38" s="48"/>
      <c r="EZ38" s="48"/>
      <c r="FA38" s="48"/>
      <c r="FB38" s="48"/>
      <c r="FC38" s="48"/>
      <c r="FD38" s="48"/>
      <c r="FE38" s="48"/>
      <c r="FF38" s="48"/>
      <c r="FG38" s="48"/>
      <c r="FH38" s="48"/>
      <c r="FI38" s="48"/>
      <c r="FJ38" s="48"/>
      <c r="FK38" s="48"/>
      <c r="FL38" s="48"/>
      <c r="FM38" s="48"/>
      <c r="FN38" s="48"/>
    </row>
    <row r="39" spans="1:170" x14ac:dyDescent="0.3">
      <c r="L39" s="17"/>
      <c r="M39" s="17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</row>
    <row r="40" spans="1:170" x14ac:dyDescent="0.3">
      <c r="A40" s="49" t="s">
        <v>51</v>
      </c>
      <c r="E40" s="17">
        <v>3149484</v>
      </c>
      <c r="F40" s="17">
        <v>3158871</v>
      </c>
      <c r="G40" s="17">
        <v>3212638</v>
      </c>
      <c r="H40" s="17">
        <v>3049225</v>
      </c>
      <c r="I40" s="17">
        <v>2967786</v>
      </c>
      <c r="J40" s="17">
        <v>2645515</v>
      </c>
      <c r="K40" s="17">
        <v>2186276</v>
      </c>
      <c r="L40" s="17">
        <v>2275728</v>
      </c>
      <c r="M40" s="17">
        <v>2516435</v>
      </c>
      <c r="N40" s="17">
        <f>M40</f>
        <v>2516435</v>
      </c>
      <c r="O40" s="17">
        <f t="shared" ref="O40:AN40" si="24">N40</f>
        <v>2516435</v>
      </c>
      <c r="P40" s="17">
        <f t="shared" si="24"/>
        <v>2516435</v>
      </c>
      <c r="Q40" s="17">
        <f t="shared" si="24"/>
        <v>2516435</v>
      </c>
      <c r="R40" s="17">
        <f t="shared" si="24"/>
        <v>2516435</v>
      </c>
      <c r="S40" s="17">
        <f t="shared" si="24"/>
        <v>2516435</v>
      </c>
      <c r="T40" s="17">
        <f t="shared" si="24"/>
        <v>2516435</v>
      </c>
      <c r="U40" s="17">
        <f t="shared" si="24"/>
        <v>2516435</v>
      </c>
      <c r="V40" s="17">
        <f t="shared" si="24"/>
        <v>2516435</v>
      </c>
      <c r="W40" s="17">
        <f t="shared" si="24"/>
        <v>2516435</v>
      </c>
      <c r="X40" s="17">
        <f t="shared" si="24"/>
        <v>2516435</v>
      </c>
      <c r="Y40" s="17">
        <f t="shared" si="24"/>
        <v>2516435</v>
      </c>
      <c r="Z40" s="17">
        <f t="shared" si="24"/>
        <v>2516435</v>
      </c>
      <c r="AA40" s="17">
        <f t="shared" si="24"/>
        <v>2516435</v>
      </c>
      <c r="AB40" s="17">
        <f t="shared" si="24"/>
        <v>2516435</v>
      </c>
      <c r="AC40" s="17">
        <f t="shared" si="24"/>
        <v>2516435</v>
      </c>
      <c r="AD40" s="17">
        <f t="shared" si="24"/>
        <v>2516435</v>
      </c>
      <c r="AE40" s="17">
        <f t="shared" si="24"/>
        <v>2516435</v>
      </c>
      <c r="AF40" s="17">
        <f t="shared" si="24"/>
        <v>2516435</v>
      </c>
      <c r="AG40" s="17">
        <f t="shared" si="24"/>
        <v>2516435</v>
      </c>
      <c r="AH40" s="17">
        <f t="shared" si="24"/>
        <v>2516435</v>
      </c>
      <c r="AI40" s="17">
        <f t="shared" si="24"/>
        <v>2516435</v>
      </c>
      <c r="AJ40" s="17">
        <f t="shared" si="24"/>
        <v>2516435</v>
      </c>
      <c r="AK40" s="17">
        <f t="shared" si="24"/>
        <v>2516435</v>
      </c>
      <c r="AL40" s="17">
        <f t="shared" si="24"/>
        <v>2516435</v>
      </c>
      <c r="AM40" s="17">
        <f t="shared" si="24"/>
        <v>2516435</v>
      </c>
      <c r="AN40" s="17">
        <f t="shared" si="24"/>
        <v>2516435</v>
      </c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</row>
    <row r="41" spans="1:170" x14ac:dyDescent="0.3">
      <c r="L41" s="17"/>
      <c r="M41" s="17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</row>
    <row r="42" spans="1:170" s="46" customFormat="1" x14ac:dyDescent="0.3">
      <c r="A42" s="45" t="s">
        <v>52</v>
      </c>
      <c r="E42" s="47">
        <f t="shared" ref="E42:K42" si="25">E38-E40</f>
        <v>1310752</v>
      </c>
      <c r="F42" s="47">
        <f t="shared" si="25"/>
        <v>259026</v>
      </c>
      <c r="G42" s="47">
        <f t="shared" si="25"/>
        <v>1957</v>
      </c>
      <c r="H42" s="47">
        <f t="shared" si="25"/>
        <v>72107</v>
      </c>
      <c r="I42" s="47">
        <f t="shared" si="25"/>
        <v>-296204</v>
      </c>
      <c r="J42" s="47">
        <f t="shared" si="25"/>
        <v>-55028</v>
      </c>
      <c r="K42" s="47">
        <f t="shared" si="25"/>
        <v>354952.25999999791</v>
      </c>
      <c r="L42" s="47">
        <f>L38-L40</f>
        <v>59796</v>
      </c>
      <c r="M42" s="47">
        <f>M38-M40</f>
        <v>52885.137600004673</v>
      </c>
      <c r="N42" s="47">
        <f t="shared" ref="N42:AN42" si="26">N38-N40</f>
        <v>52885.097599998116</v>
      </c>
      <c r="O42" s="47">
        <f t="shared" si="26"/>
        <v>52885.097599998116</v>
      </c>
      <c r="P42" s="47">
        <f t="shared" si="26"/>
        <v>52885.097599998116</v>
      </c>
      <c r="Q42" s="47">
        <f t="shared" si="26"/>
        <v>52885.097599998116</v>
      </c>
      <c r="R42" s="47">
        <f t="shared" si="26"/>
        <v>52885.097599998116</v>
      </c>
      <c r="S42" s="47">
        <f t="shared" si="26"/>
        <v>52885.097599998116</v>
      </c>
      <c r="T42" s="47">
        <f t="shared" si="26"/>
        <v>52885.097599998116</v>
      </c>
      <c r="U42" s="47">
        <f t="shared" si="26"/>
        <v>52885.097599998116</v>
      </c>
      <c r="V42" s="47">
        <f t="shared" si="26"/>
        <v>52885.097599998116</v>
      </c>
      <c r="W42" s="47">
        <f t="shared" si="26"/>
        <v>52885.097599998116</v>
      </c>
      <c r="X42" s="47">
        <f t="shared" si="26"/>
        <v>52885.097599998116</v>
      </c>
      <c r="Y42" s="47">
        <f t="shared" si="26"/>
        <v>52885.097599998116</v>
      </c>
      <c r="Z42" s="47">
        <f t="shared" si="26"/>
        <v>52885.097599998116</v>
      </c>
      <c r="AA42" s="47">
        <f t="shared" si="26"/>
        <v>52885.097599998116</v>
      </c>
      <c r="AB42" s="47">
        <f t="shared" si="26"/>
        <v>52885.097599998116</v>
      </c>
      <c r="AC42" s="47">
        <f t="shared" si="26"/>
        <v>52885.097599998116</v>
      </c>
      <c r="AD42" s="47">
        <f t="shared" si="26"/>
        <v>52885.097599998116</v>
      </c>
      <c r="AE42" s="47">
        <f t="shared" si="26"/>
        <v>52885.097599998116</v>
      </c>
      <c r="AF42" s="47">
        <f t="shared" si="26"/>
        <v>52885.097599998116</v>
      </c>
      <c r="AG42" s="47">
        <f t="shared" si="26"/>
        <v>52885.097599998116</v>
      </c>
      <c r="AH42" s="47">
        <f t="shared" si="26"/>
        <v>52885.097599998116</v>
      </c>
      <c r="AI42" s="47">
        <f t="shared" si="26"/>
        <v>52885.097599998116</v>
      </c>
      <c r="AJ42" s="47">
        <f t="shared" si="26"/>
        <v>52885.097599998116</v>
      </c>
      <c r="AK42" s="47">
        <f t="shared" si="26"/>
        <v>52885.097599998116</v>
      </c>
      <c r="AL42" s="47">
        <f t="shared" si="26"/>
        <v>52885.097599998116</v>
      </c>
      <c r="AM42" s="47">
        <f t="shared" si="26"/>
        <v>52885.097599998116</v>
      </c>
      <c r="AN42" s="47">
        <f t="shared" si="26"/>
        <v>52885.097599998116</v>
      </c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48"/>
      <c r="BL42" s="48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8"/>
      <c r="CA42" s="48"/>
      <c r="CB42" s="48"/>
      <c r="CC42" s="48"/>
      <c r="CD42" s="48"/>
      <c r="CE42" s="48"/>
      <c r="CF42" s="48"/>
      <c r="CG42" s="48"/>
      <c r="CH42" s="48"/>
      <c r="CI42" s="48"/>
      <c r="CJ42" s="48"/>
      <c r="CK42" s="48"/>
      <c r="CL42" s="48"/>
      <c r="CM42" s="48"/>
      <c r="CN42" s="48"/>
      <c r="CO42" s="48"/>
      <c r="CP42" s="48"/>
      <c r="CQ42" s="48"/>
      <c r="CR42" s="48"/>
      <c r="CS42" s="48"/>
      <c r="CT42" s="48"/>
      <c r="CU42" s="48"/>
      <c r="CV42" s="48"/>
      <c r="CW42" s="48"/>
      <c r="CX42" s="48"/>
      <c r="CY42" s="48"/>
      <c r="CZ42" s="48"/>
      <c r="DA42" s="48"/>
      <c r="DB42" s="48"/>
      <c r="DC42" s="48"/>
      <c r="DD42" s="48"/>
      <c r="DE42" s="48"/>
      <c r="DF42" s="48"/>
      <c r="DG42" s="48"/>
      <c r="DH42" s="48"/>
      <c r="DI42" s="48"/>
      <c r="DJ42" s="48"/>
      <c r="DK42" s="48"/>
      <c r="DL42" s="48"/>
      <c r="DM42" s="48"/>
      <c r="DN42" s="48"/>
      <c r="DO42" s="48"/>
      <c r="DP42" s="48"/>
      <c r="DQ42" s="48"/>
      <c r="DR42" s="48"/>
      <c r="DS42" s="48"/>
      <c r="DT42" s="48"/>
      <c r="DU42" s="48"/>
      <c r="DV42" s="48"/>
      <c r="DW42" s="48"/>
      <c r="DX42" s="48"/>
      <c r="DY42" s="48"/>
      <c r="DZ42" s="48"/>
      <c r="EA42" s="48"/>
      <c r="EB42" s="48"/>
      <c r="EC42" s="48"/>
      <c r="ED42" s="48"/>
      <c r="EE42" s="48"/>
      <c r="EF42" s="48"/>
      <c r="EG42" s="48"/>
      <c r="EH42" s="48"/>
      <c r="EI42" s="48"/>
      <c r="EJ42" s="48"/>
      <c r="EK42" s="48"/>
      <c r="EL42" s="48"/>
      <c r="EM42" s="48"/>
      <c r="EN42" s="48"/>
      <c r="EO42" s="48"/>
      <c r="EP42" s="48"/>
      <c r="EQ42" s="48"/>
      <c r="ER42" s="48"/>
      <c r="ES42" s="48"/>
      <c r="ET42" s="48"/>
      <c r="EU42" s="48"/>
      <c r="EV42" s="48"/>
      <c r="EW42" s="48"/>
      <c r="EX42" s="48"/>
      <c r="EY42" s="48"/>
      <c r="EZ42" s="48"/>
      <c r="FA42" s="48"/>
      <c r="FB42" s="48"/>
      <c r="FC42" s="48"/>
      <c r="FD42" s="48"/>
      <c r="FE42" s="48"/>
      <c r="FF42" s="48"/>
      <c r="FG42" s="48"/>
      <c r="FH42" s="48"/>
      <c r="FI42" s="48"/>
      <c r="FJ42" s="48"/>
      <c r="FK42" s="48"/>
      <c r="FL42" s="48"/>
      <c r="FM42" s="48"/>
      <c r="FN42" s="48"/>
    </row>
    <row r="43" spans="1:170" x14ac:dyDescent="0.3"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</row>
    <row r="44" spans="1:170" x14ac:dyDescent="0.3">
      <c r="A44" s="1" t="s">
        <v>53</v>
      </c>
      <c r="E44" s="17">
        <v>2682</v>
      </c>
      <c r="F44" s="17">
        <v>3460</v>
      </c>
      <c r="G44" s="17">
        <v>1226</v>
      </c>
      <c r="H44" s="17">
        <v>2185</v>
      </c>
      <c r="I44" s="17">
        <v>3</v>
      </c>
      <c r="J44" s="17">
        <v>27</v>
      </c>
      <c r="K44" s="17">
        <v>0</v>
      </c>
      <c r="L44" s="17">
        <v>0</v>
      </c>
      <c r="M44" s="17">
        <v>0</v>
      </c>
      <c r="N44" s="17">
        <v>0</v>
      </c>
      <c r="O44" s="17">
        <v>0</v>
      </c>
      <c r="P44" s="17">
        <v>0</v>
      </c>
      <c r="Q44" s="17">
        <v>0</v>
      </c>
      <c r="R44" s="17">
        <v>0</v>
      </c>
      <c r="S44" s="17">
        <v>0</v>
      </c>
      <c r="T44" s="17">
        <v>0</v>
      </c>
      <c r="U44" s="17">
        <v>0</v>
      </c>
      <c r="V44" s="17">
        <v>0</v>
      </c>
      <c r="W44" s="17">
        <v>0</v>
      </c>
      <c r="X44" s="17">
        <v>0</v>
      </c>
      <c r="Y44" s="17">
        <v>0</v>
      </c>
      <c r="Z44" s="17">
        <v>0</v>
      </c>
      <c r="AA44" s="17">
        <v>0</v>
      </c>
      <c r="AB44" s="17">
        <v>0</v>
      </c>
      <c r="AC44" s="17">
        <v>0</v>
      </c>
      <c r="AD44" s="17">
        <v>0</v>
      </c>
      <c r="AE44" s="17">
        <v>0</v>
      </c>
      <c r="AF44" s="17">
        <v>0</v>
      </c>
      <c r="AG44" s="17">
        <v>0</v>
      </c>
      <c r="AH44" s="17">
        <v>0</v>
      </c>
      <c r="AI44" s="17">
        <v>0</v>
      </c>
      <c r="AJ44" s="17">
        <v>0</v>
      </c>
      <c r="AK44" s="17">
        <v>0</v>
      </c>
      <c r="AL44" s="17">
        <v>0</v>
      </c>
      <c r="AM44" s="17">
        <v>0</v>
      </c>
      <c r="AN44" s="17">
        <v>0</v>
      </c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</row>
    <row r="45" spans="1:170" x14ac:dyDescent="0.3">
      <c r="A45" s="1" t="s">
        <v>54</v>
      </c>
      <c r="E45" s="17">
        <v>282022</v>
      </c>
      <c r="F45" s="17">
        <v>-1082</v>
      </c>
      <c r="G45" s="17">
        <v>-7545</v>
      </c>
      <c r="H45" s="17">
        <v>7083</v>
      </c>
      <c r="I45" s="17">
        <v>-5088</v>
      </c>
      <c r="J45" s="17">
        <v>-49390</v>
      </c>
      <c r="K45" s="17">
        <v>34006</v>
      </c>
      <c r="L45" s="17">
        <f>L42*0.13</f>
        <v>7773.4800000000005</v>
      </c>
      <c r="M45" s="17">
        <f t="shared" ref="M45:AN45" si="27">M42*0.13</f>
        <v>6875.067888000608</v>
      </c>
      <c r="N45" s="17">
        <f t="shared" si="27"/>
        <v>6875.0626879997553</v>
      </c>
      <c r="O45" s="17">
        <f t="shared" si="27"/>
        <v>6875.0626879997553</v>
      </c>
      <c r="P45" s="17">
        <f t="shared" si="27"/>
        <v>6875.0626879997553</v>
      </c>
      <c r="Q45" s="17">
        <f>Q42*0.13</f>
        <v>6875.0626879997553</v>
      </c>
      <c r="R45" s="17">
        <f t="shared" si="27"/>
        <v>6875.0626879997553</v>
      </c>
      <c r="S45" s="17">
        <f t="shared" si="27"/>
        <v>6875.0626879997553</v>
      </c>
      <c r="T45" s="17">
        <f t="shared" si="27"/>
        <v>6875.0626879997553</v>
      </c>
      <c r="U45" s="17">
        <f t="shared" si="27"/>
        <v>6875.0626879997553</v>
      </c>
      <c r="V45" s="17">
        <f t="shared" si="27"/>
        <v>6875.0626879997553</v>
      </c>
      <c r="W45" s="17">
        <f t="shared" si="27"/>
        <v>6875.0626879997553</v>
      </c>
      <c r="X45" s="17">
        <f t="shared" si="27"/>
        <v>6875.0626879997553</v>
      </c>
      <c r="Y45" s="17">
        <f t="shared" si="27"/>
        <v>6875.0626879997553</v>
      </c>
      <c r="Z45" s="17">
        <f t="shared" si="27"/>
        <v>6875.0626879997553</v>
      </c>
      <c r="AA45" s="17">
        <f t="shared" si="27"/>
        <v>6875.0626879997553</v>
      </c>
      <c r="AB45" s="17">
        <f t="shared" si="27"/>
        <v>6875.0626879997553</v>
      </c>
      <c r="AC45" s="17">
        <f t="shared" si="27"/>
        <v>6875.0626879997553</v>
      </c>
      <c r="AD45" s="17">
        <f t="shared" si="27"/>
        <v>6875.0626879997553</v>
      </c>
      <c r="AE45" s="17">
        <f t="shared" si="27"/>
        <v>6875.0626879997553</v>
      </c>
      <c r="AF45" s="17">
        <f t="shared" si="27"/>
        <v>6875.0626879997553</v>
      </c>
      <c r="AG45" s="17">
        <f t="shared" si="27"/>
        <v>6875.0626879997553</v>
      </c>
      <c r="AH45" s="17">
        <f t="shared" si="27"/>
        <v>6875.0626879997553</v>
      </c>
      <c r="AI45" s="17">
        <f t="shared" si="27"/>
        <v>6875.0626879997553</v>
      </c>
      <c r="AJ45" s="17">
        <f t="shared" si="27"/>
        <v>6875.0626879997553</v>
      </c>
      <c r="AK45" s="17">
        <f t="shared" si="27"/>
        <v>6875.0626879997553</v>
      </c>
      <c r="AL45" s="17">
        <f t="shared" si="27"/>
        <v>6875.0626879997553</v>
      </c>
      <c r="AM45" s="17">
        <f t="shared" si="27"/>
        <v>6875.0626879997553</v>
      </c>
      <c r="AN45" s="17">
        <f t="shared" si="27"/>
        <v>6875.0626879997553</v>
      </c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</row>
    <row r="46" spans="1:170" x14ac:dyDescent="0.3"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</row>
    <row r="47" spans="1:170" s="232" customFormat="1" x14ac:dyDescent="0.3">
      <c r="A47" s="231" t="s">
        <v>55</v>
      </c>
      <c r="E47" s="233">
        <f t="shared" ref="E47:AN47" si="28">E42+E44-E45</f>
        <v>1031412</v>
      </c>
      <c r="F47" s="233">
        <f t="shared" si="28"/>
        <v>263568</v>
      </c>
      <c r="G47" s="233">
        <f t="shared" si="28"/>
        <v>10728</v>
      </c>
      <c r="H47" s="233">
        <f t="shared" si="28"/>
        <v>67209</v>
      </c>
      <c r="I47" s="233">
        <f t="shared" si="28"/>
        <v>-291113</v>
      </c>
      <c r="J47" s="233">
        <f t="shared" si="28"/>
        <v>-5611</v>
      </c>
      <c r="K47" s="233">
        <f t="shared" si="28"/>
        <v>320946.25999999791</v>
      </c>
      <c r="L47" s="233">
        <f t="shared" si="28"/>
        <v>52022.52</v>
      </c>
      <c r="M47" s="233">
        <f t="shared" si="28"/>
        <v>46010.069712004064</v>
      </c>
      <c r="N47" s="233">
        <f t="shared" si="28"/>
        <v>46010.034911998358</v>
      </c>
      <c r="O47" s="233">
        <f t="shared" si="28"/>
        <v>46010.034911998358</v>
      </c>
      <c r="P47" s="233">
        <f t="shared" si="28"/>
        <v>46010.034911998358</v>
      </c>
      <c r="Q47" s="233">
        <f t="shared" si="28"/>
        <v>46010.034911998358</v>
      </c>
      <c r="R47" s="233">
        <f t="shared" si="28"/>
        <v>46010.034911998358</v>
      </c>
      <c r="S47" s="233">
        <f t="shared" si="28"/>
        <v>46010.034911998358</v>
      </c>
      <c r="T47" s="233">
        <f t="shared" si="28"/>
        <v>46010.034911998358</v>
      </c>
      <c r="U47" s="233">
        <f t="shared" si="28"/>
        <v>46010.034911998358</v>
      </c>
      <c r="V47" s="233">
        <f t="shared" si="28"/>
        <v>46010.034911998358</v>
      </c>
      <c r="W47" s="233">
        <f t="shared" si="28"/>
        <v>46010.034911998358</v>
      </c>
      <c r="X47" s="233">
        <f t="shared" si="28"/>
        <v>46010.034911998358</v>
      </c>
      <c r="Y47" s="233">
        <f t="shared" si="28"/>
        <v>46010.034911998358</v>
      </c>
      <c r="Z47" s="233">
        <f t="shared" si="28"/>
        <v>46010.034911998358</v>
      </c>
      <c r="AA47" s="233">
        <f t="shared" si="28"/>
        <v>46010.034911998358</v>
      </c>
      <c r="AB47" s="233">
        <f t="shared" si="28"/>
        <v>46010.034911998358</v>
      </c>
      <c r="AC47" s="233">
        <f t="shared" si="28"/>
        <v>46010.034911998358</v>
      </c>
      <c r="AD47" s="233">
        <f t="shared" si="28"/>
        <v>46010.034911998358</v>
      </c>
      <c r="AE47" s="233">
        <f t="shared" si="28"/>
        <v>46010.034911998358</v>
      </c>
      <c r="AF47" s="233">
        <f t="shared" si="28"/>
        <v>46010.034911998358</v>
      </c>
      <c r="AG47" s="233">
        <f t="shared" si="28"/>
        <v>46010.034911998358</v>
      </c>
      <c r="AH47" s="233">
        <f t="shared" si="28"/>
        <v>46010.034911998358</v>
      </c>
      <c r="AI47" s="233">
        <f t="shared" si="28"/>
        <v>46010.034911998358</v>
      </c>
      <c r="AJ47" s="233">
        <f t="shared" si="28"/>
        <v>46010.034911998358</v>
      </c>
      <c r="AK47" s="233">
        <f t="shared" si="28"/>
        <v>46010.034911998358</v>
      </c>
      <c r="AL47" s="233">
        <f t="shared" si="28"/>
        <v>46010.034911998358</v>
      </c>
      <c r="AM47" s="233">
        <f t="shared" si="28"/>
        <v>46010.034911998358</v>
      </c>
      <c r="AN47" s="233">
        <f t="shared" si="28"/>
        <v>46010.034911998358</v>
      </c>
      <c r="AO47" s="210"/>
      <c r="AP47" s="210"/>
      <c r="AQ47" s="210"/>
      <c r="AR47" s="210"/>
      <c r="AS47" s="210"/>
      <c r="AT47" s="210"/>
      <c r="AU47" s="210"/>
      <c r="AV47" s="210"/>
      <c r="AW47" s="210"/>
      <c r="AX47" s="210"/>
      <c r="AY47" s="210"/>
      <c r="AZ47" s="210"/>
      <c r="BA47" s="210"/>
      <c r="BB47" s="211"/>
      <c r="BC47" s="211"/>
      <c r="BD47" s="211"/>
      <c r="BE47" s="211"/>
      <c r="BF47" s="211"/>
      <c r="BG47" s="211"/>
      <c r="BH47" s="211"/>
      <c r="BI47" s="211"/>
      <c r="BJ47" s="211"/>
      <c r="BK47" s="211"/>
      <c r="BL47" s="211"/>
      <c r="BM47" s="211"/>
      <c r="BN47" s="211"/>
      <c r="BO47" s="211"/>
      <c r="BP47" s="211"/>
      <c r="BQ47" s="211"/>
      <c r="BR47" s="211"/>
      <c r="BS47" s="211"/>
      <c r="BT47" s="211"/>
      <c r="BU47" s="211"/>
      <c r="BV47" s="211"/>
      <c r="BW47" s="211"/>
      <c r="BX47" s="211"/>
      <c r="BY47" s="211"/>
      <c r="BZ47" s="211"/>
      <c r="CA47" s="211"/>
      <c r="CB47" s="211"/>
      <c r="CC47" s="211"/>
      <c r="CD47" s="211"/>
      <c r="CE47" s="211"/>
      <c r="CF47" s="211"/>
      <c r="CG47" s="211"/>
      <c r="CH47" s="211"/>
      <c r="CI47" s="211"/>
      <c r="CJ47" s="211"/>
      <c r="CK47" s="211"/>
      <c r="CL47" s="211"/>
      <c r="CM47" s="211"/>
      <c r="CN47" s="211"/>
      <c r="CO47" s="211"/>
      <c r="CP47" s="211"/>
      <c r="CQ47" s="211"/>
      <c r="CR47" s="211"/>
      <c r="CS47" s="211"/>
      <c r="CT47" s="211"/>
      <c r="CU47" s="211"/>
      <c r="CV47" s="211"/>
      <c r="CW47" s="211"/>
      <c r="CX47" s="211"/>
      <c r="CY47" s="211"/>
    </row>
    <row r="48" spans="1:170" s="20" customFormat="1" ht="13" x14ac:dyDescent="0.3">
      <c r="A48" s="77" t="s">
        <v>56</v>
      </c>
      <c r="E48" s="78">
        <f t="shared" ref="E48:AN48" si="29">E38/E6</f>
        <v>0.1139048675001508</v>
      </c>
      <c r="F48" s="78">
        <f t="shared" si="29"/>
        <v>8.1492195194328626E-2</v>
      </c>
      <c r="G48" s="78">
        <f t="shared" si="29"/>
        <v>7.5697688591290807E-2</v>
      </c>
      <c r="H48" s="78">
        <f t="shared" si="29"/>
        <v>7.0774526547011718E-2</v>
      </c>
      <c r="I48" s="78">
        <f t="shared" si="29"/>
        <v>5.4075402256321278E-2</v>
      </c>
      <c r="J48" s="78">
        <f t="shared" si="29"/>
        <v>5.2024010250538689E-2</v>
      </c>
      <c r="K48" s="78">
        <f t="shared" si="29"/>
        <v>4.5163163888638065E-2</v>
      </c>
      <c r="L48" s="78">
        <f t="shared" si="29"/>
        <v>4.0173351001513674E-2</v>
      </c>
      <c r="M48" s="78">
        <f t="shared" si="29"/>
        <v>3.2861517086160343E-2</v>
      </c>
      <c r="N48" s="78">
        <f t="shared" si="29"/>
        <v>3.2861516574561621E-2</v>
      </c>
      <c r="O48" s="78">
        <f t="shared" si="29"/>
        <v>3.2861516574561621E-2</v>
      </c>
      <c r="P48" s="78">
        <f t="shared" si="29"/>
        <v>3.2861516574561621E-2</v>
      </c>
      <c r="Q48" s="78">
        <f t="shared" si="29"/>
        <v>3.2861516574561621E-2</v>
      </c>
      <c r="R48" s="78">
        <f t="shared" si="29"/>
        <v>3.2861516574561621E-2</v>
      </c>
      <c r="S48" s="78">
        <f t="shared" si="29"/>
        <v>3.2861516574561621E-2</v>
      </c>
      <c r="T48" s="78">
        <f t="shared" si="29"/>
        <v>3.2861516574561621E-2</v>
      </c>
      <c r="U48" s="78">
        <f t="shared" si="29"/>
        <v>3.2861516574561621E-2</v>
      </c>
      <c r="V48" s="78">
        <f t="shared" si="29"/>
        <v>3.2861516574561621E-2</v>
      </c>
      <c r="W48" s="78">
        <f t="shared" si="29"/>
        <v>3.2861516574561621E-2</v>
      </c>
      <c r="X48" s="78">
        <f t="shared" si="29"/>
        <v>3.2861516574561621E-2</v>
      </c>
      <c r="Y48" s="78">
        <f t="shared" si="29"/>
        <v>3.2861516574561621E-2</v>
      </c>
      <c r="Z48" s="78">
        <f t="shared" si="29"/>
        <v>3.2861516574561621E-2</v>
      </c>
      <c r="AA48" s="78">
        <f t="shared" si="29"/>
        <v>3.2861516574561621E-2</v>
      </c>
      <c r="AB48" s="78">
        <f t="shared" si="29"/>
        <v>3.2861516574561621E-2</v>
      </c>
      <c r="AC48" s="78">
        <f t="shared" si="29"/>
        <v>3.2861516574561621E-2</v>
      </c>
      <c r="AD48" s="78">
        <f t="shared" si="29"/>
        <v>3.2861516574561621E-2</v>
      </c>
      <c r="AE48" s="78">
        <f t="shared" si="29"/>
        <v>3.2861516574561621E-2</v>
      </c>
      <c r="AF48" s="78">
        <f t="shared" si="29"/>
        <v>3.2861516574561621E-2</v>
      </c>
      <c r="AG48" s="78">
        <f t="shared" si="29"/>
        <v>3.2861516574561621E-2</v>
      </c>
      <c r="AH48" s="78">
        <f t="shared" si="29"/>
        <v>3.2861516574561621E-2</v>
      </c>
      <c r="AI48" s="78">
        <f t="shared" si="29"/>
        <v>3.2861516574561621E-2</v>
      </c>
      <c r="AJ48" s="78">
        <f t="shared" si="29"/>
        <v>3.2861516574561621E-2</v>
      </c>
      <c r="AK48" s="78">
        <f t="shared" si="29"/>
        <v>3.2861516574561621E-2</v>
      </c>
      <c r="AL48" s="78">
        <f t="shared" si="29"/>
        <v>3.2861516574561621E-2</v>
      </c>
      <c r="AM48" s="78">
        <f t="shared" si="29"/>
        <v>3.2861516574561621E-2</v>
      </c>
      <c r="AN48" s="78">
        <f t="shared" si="29"/>
        <v>3.2861516574561621E-2</v>
      </c>
      <c r="AO48" s="166"/>
      <c r="AP48" s="166"/>
      <c r="AQ48" s="166"/>
      <c r="AR48" s="166"/>
      <c r="AS48" s="166"/>
      <c r="AT48" s="166"/>
      <c r="AU48" s="166"/>
      <c r="AV48" s="166"/>
      <c r="AW48" s="166"/>
      <c r="AX48" s="166"/>
      <c r="AY48" s="166"/>
      <c r="AZ48" s="166"/>
      <c r="BA48" s="166"/>
      <c r="BB48" s="166"/>
      <c r="BC48" s="166"/>
      <c r="BD48" s="166"/>
      <c r="BE48" s="166"/>
      <c r="BF48" s="166"/>
      <c r="BG48" s="166"/>
      <c r="BH48" s="166"/>
      <c r="BI48" s="166"/>
      <c r="BJ48" s="166"/>
      <c r="BK48" s="166"/>
      <c r="BL48" s="166"/>
      <c r="BM48" s="166"/>
      <c r="BN48" s="166"/>
      <c r="BO48" s="166"/>
      <c r="BP48" s="166"/>
      <c r="BQ48" s="166"/>
      <c r="BR48" s="166"/>
      <c r="BS48" s="166"/>
      <c r="BT48" s="166"/>
      <c r="BU48" s="166"/>
      <c r="BV48" s="166"/>
      <c r="BW48" s="166"/>
      <c r="BX48" s="166"/>
      <c r="BY48" s="166"/>
      <c r="BZ48" s="166"/>
      <c r="CA48" s="166"/>
      <c r="CB48" s="166"/>
      <c r="CC48" s="166"/>
      <c r="CD48" s="166"/>
      <c r="CE48" s="166"/>
      <c r="CF48" s="166"/>
      <c r="CG48" s="166"/>
      <c r="CH48" s="166"/>
      <c r="CI48" s="166"/>
      <c r="CJ48" s="166"/>
      <c r="CK48" s="166"/>
      <c r="CL48" s="166"/>
      <c r="CM48" s="166"/>
      <c r="CN48" s="166"/>
      <c r="CO48" s="166"/>
      <c r="CP48" s="166"/>
      <c r="CQ48" s="166"/>
      <c r="CR48" s="166"/>
      <c r="CS48" s="166"/>
      <c r="CT48" s="166"/>
      <c r="CU48" s="166"/>
      <c r="CV48" s="166"/>
      <c r="CW48" s="166"/>
      <c r="CX48" s="166"/>
      <c r="CY48" s="166"/>
      <c r="CZ48" s="79"/>
      <c r="DA48" s="79"/>
      <c r="DB48" s="79"/>
      <c r="DC48" s="79"/>
      <c r="DD48" s="79"/>
      <c r="DE48" s="79"/>
      <c r="DF48" s="79"/>
      <c r="DG48" s="79"/>
      <c r="DH48" s="79"/>
      <c r="DI48" s="79"/>
      <c r="DJ48" s="79"/>
      <c r="DK48" s="79"/>
      <c r="DL48" s="79"/>
      <c r="DM48" s="79"/>
      <c r="DN48" s="79"/>
      <c r="DO48" s="79"/>
      <c r="DP48" s="79"/>
      <c r="DQ48" s="79"/>
      <c r="DR48" s="79"/>
      <c r="DS48" s="79"/>
      <c r="DT48" s="79"/>
      <c r="DU48" s="79"/>
      <c r="DV48" s="79"/>
      <c r="DW48" s="79"/>
      <c r="DX48" s="79"/>
      <c r="DY48" s="79"/>
      <c r="DZ48" s="79"/>
      <c r="EA48" s="79"/>
      <c r="EB48" s="79"/>
      <c r="EC48" s="79"/>
      <c r="ED48" s="79"/>
      <c r="EE48" s="79"/>
      <c r="EF48" s="79"/>
      <c r="EG48" s="79"/>
      <c r="EH48" s="79"/>
      <c r="EI48" s="79"/>
      <c r="EJ48" s="79"/>
      <c r="EK48" s="79"/>
      <c r="EL48" s="79"/>
      <c r="EM48" s="79"/>
      <c r="EN48" s="79"/>
      <c r="EO48" s="79"/>
      <c r="EP48" s="79"/>
      <c r="EQ48" s="79"/>
      <c r="ER48" s="79"/>
      <c r="ES48" s="79"/>
      <c r="ET48" s="79"/>
      <c r="EU48" s="79"/>
      <c r="EV48" s="79"/>
      <c r="EW48" s="79"/>
      <c r="EX48" s="79"/>
      <c r="EY48" s="79"/>
      <c r="EZ48" s="79"/>
      <c r="FA48" s="79"/>
      <c r="FB48" s="79"/>
      <c r="FC48" s="79"/>
      <c r="FD48" s="79"/>
      <c r="FE48" s="79"/>
      <c r="FF48" s="79"/>
      <c r="FG48" s="79"/>
      <c r="FH48" s="79"/>
      <c r="FI48" s="79"/>
      <c r="FJ48" s="79"/>
      <c r="FK48" s="79"/>
      <c r="FL48" s="79"/>
      <c r="FM48" s="79"/>
      <c r="FN48" s="79"/>
    </row>
    <row r="49" spans="1:170" x14ac:dyDescent="0.3">
      <c r="E49" s="17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  <c r="BF49" s="48"/>
      <c r="BG49" s="48"/>
      <c r="BH49" s="48"/>
      <c r="BI49" s="48"/>
      <c r="BJ49" s="48"/>
      <c r="BK49" s="48"/>
      <c r="BL49" s="48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8"/>
      <c r="CA49" s="48"/>
      <c r="CB49" s="48"/>
      <c r="CC49" s="48"/>
      <c r="CD49" s="48"/>
      <c r="CE49" s="48"/>
      <c r="CF49" s="48"/>
      <c r="CG49" s="48"/>
      <c r="CH49" s="48"/>
      <c r="CI49" s="48"/>
      <c r="CJ49" s="48"/>
      <c r="CK49" s="48"/>
      <c r="CL49" s="48"/>
      <c r="CM49" s="48"/>
      <c r="CN49" s="48"/>
      <c r="CO49" s="48"/>
      <c r="CP49" s="48"/>
      <c r="CQ49" s="48"/>
      <c r="CR49" s="48"/>
      <c r="CS49" s="48"/>
      <c r="CT49" s="48"/>
      <c r="CU49" s="48"/>
      <c r="CV49" s="48"/>
      <c r="CW49" s="48"/>
      <c r="CX49" s="48"/>
      <c r="CY49" s="48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</row>
    <row r="50" spans="1:170" s="3" customFormat="1" x14ac:dyDescent="0.3">
      <c r="A50" s="39" t="s">
        <v>57</v>
      </c>
      <c r="B50" s="39"/>
      <c r="C50" s="39"/>
      <c r="D50" s="39"/>
      <c r="E50" s="17">
        <f>E40</f>
        <v>3149484</v>
      </c>
      <c r="F50" s="17">
        <f t="shared" ref="F50:AN50" si="30">F40</f>
        <v>3158871</v>
      </c>
      <c r="G50" s="17">
        <f t="shared" si="30"/>
        <v>3212638</v>
      </c>
      <c r="H50" s="17">
        <f t="shared" si="30"/>
        <v>3049225</v>
      </c>
      <c r="I50" s="17">
        <f t="shared" si="30"/>
        <v>2967786</v>
      </c>
      <c r="J50" s="17">
        <f t="shared" si="30"/>
        <v>2645515</v>
      </c>
      <c r="K50" s="17">
        <f t="shared" si="30"/>
        <v>2186276</v>
      </c>
      <c r="L50" s="17">
        <f t="shared" si="30"/>
        <v>2275728</v>
      </c>
      <c r="M50" s="17">
        <f t="shared" si="30"/>
        <v>2516435</v>
      </c>
      <c r="N50" s="17">
        <f t="shared" si="30"/>
        <v>2516435</v>
      </c>
      <c r="O50" s="17">
        <f t="shared" si="30"/>
        <v>2516435</v>
      </c>
      <c r="P50" s="17">
        <f t="shared" si="30"/>
        <v>2516435</v>
      </c>
      <c r="Q50" s="17">
        <f t="shared" si="30"/>
        <v>2516435</v>
      </c>
      <c r="R50" s="17">
        <f t="shared" si="30"/>
        <v>2516435</v>
      </c>
      <c r="S50" s="17">
        <f t="shared" si="30"/>
        <v>2516435</v>
      </c>
      <c r="T50" s="17">
        <f t="shared" si="30"/>
        <v>2516435</v>
      </c>
      <c r="U50" s="17">
        <f t="shared" si="30"/>
        <v>2516435</v>
      </c>
      <c r="V50" s="17">
        <f t="shared" si="30"/>
        <v>2516435</v>
      </c>
      <c r="W50" s="17">
        <f t="shared" si="30"/>
        <v>2516435</v>
      </c>
      <c r="X50" s="17">
        <f t="shared" si="30"/>
        <v>2516435</v>
      </c>
      <c r="Y50" s="17">
        <f t="shared" si="30"/>
        <v>2516435</v>
      </c>
      <c r="Z50" s="17">
        <f t="shared" si="30"/>
        <v>2516435</v>
      </c>
      <c r="AA50" s="17">
        <f t="shared" si="30"/>
        <v>2516435</v>
      </c>
      <c r="AB50" s="17">
        <f t="shared" si="30"/>
        <v>2516435</v>
      </c>
      <c r="AC50" s="17">
        <f t="shared" si="30"/>
        <v>2516435</v>
      </c>
      <c r="AD50" s="17">
        <f t="shared" si="30"/>
        <v>2516435</v>
      </c>
      <c r="AE50" s="17">
        <f t="shared" si="30"/>
        <v>2516435</v>
      </c>
      <c r="AF50" s="17">
        <f t="shared" si="30"/>
        <v>2516435</v>
      </c>
      <c r="AG50" s="17">
        <f t="shared" si="30"/>
        <v>2516435</v>
      </c>
      <c r="AH50" s="17">
        <f t="shared" si="30"/>
        <v>2516435</v>
      </c>
      <c r="AI50" s="17">
        <f t="shared" si="30"/>
        <v>2516435</v>
      </c>
      <c r="AJ50" s="17">
        <f t="shared" si="30"/>
        <v>2516435</v>
      </c>
      <c r="AK50" s="17">
        <f t="shared" si="30"/>
        <v>2516435</v>
      </c>
      <c r="AL50" s="17">
        <f t="shared" si="30"/>
        <v>2516435</v>
      </c>
      <c r="AM50" s="17">
        <f t="shared" si="30"/>
        <v>2516435</v>
      </c>
      <c r="AN50" s="17">
        <f t="shared" si="30"/>
        <v>2516435</v>
      </c>
      <c r="AO50" s="50"/>
      <c r="AP50" s="50"/>
      <c r="AQ50" s="50"/>
      <c r="AR50" s="50"/>
      <c r="AS50" s="50"/>
      <c r="AT50" s="50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  <c r="BF50" s="48"/>
      <c r="BG50" s="48"/>
      <c r="BH50" s="48"/>
      <c r="BI50" s="48"/>
      <c r="BJ50" s="48"/>
      <c r="BK50" s="48"/>
      <c r="BL50" s="48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8"/>
      <c r="BY50" s="48"/>
      <c r="BZ50" s="48"/>
      <c r="CA50" s="48"/>
      <c r="CB50" s="48"/>
      <c r="CC50" s="48"/>
      <c r="CD50" s="48"/>
      <c r="CE50" s="48"/>
      <c r="CF50" s="48"/>
      <c r="CG50" s="48"/>
      <c r="CH50" s="48"/>
      <c r="CI50" s="48"/>
      <c r="CJ50" s="48"/>
      <c r="CK50" s="48"/>
      <c r="CL50" s="48"/>
      <c r="CM50" s="48"/>
      <c r="CN50" s="48"/>
      <c r="CO50" s="48"/>
      <c r="CP50" s="48"/>
      <c r="CQ50" s="48"/>
      <c r="CR50" s="48"/>
      <c r="CS50" s="48"/>
      <c r="CT50" s="48"/>
      <c r="CU50" s="48"/>
      <c r="CV50" s="48"/>
      <c r="CW50" s="48"/>
      <c r="CX50" s="48"/>
      <c r="CY50" s="48"/>
    </row>
    <row r="51" spans="1:170" x14ac:dyDescent="0.3">
      <c r="A51" s="1" t="s">
        <v>58</v>
      </c>
      <c r="E51" s="17">
        <v>889852</v>
      </c>
      <c r="F51" s="17">
        <v>1439702</v>
      </c>
      <c r="G51" s="17">
        <v>1528366</v>
      </c>
      <c r="H51" s="17">
        <v>629312</v>
      </c>
      <c r="I51" s="17">
        <v>482283</v>
      </c>
      <c r="J51" s="17">
        <v>1191600</v>
      </c>
      <c r="K51" s="17">
        <v>2630982</v>
      </c>
      <c r="L51" s="17">
        <v>993903</v>
      </c>
      <c r="M51" s="17">
        <f>L51*1.01</f>
        <v>1003842.03</v>
      </c>
      <c r="N51" s="17">
        <f>M51</f>
        <v>1003842.03</v>
      </c>
      <c r="O51" s="17">
        <f t="shared" ref="O51:AN51" si="31">N51</f>
        <v>1003842.03</v>
      </c>
      <c r="P51" s="17">
        <f t="shared" si="31"/>
        <v>1003842.03</v>
      </c>
      <c r="Q51" s="17">
        <f t="shared" si="31"/>
        <v>1003842.03</v>
      </c>
      <c r="R51" s="17">
        <f t="shared" si="31"/>
        <v>1003842.03</v>
      </c>
      <c r="S51" s="17">
        <f t="shared" si="31"/>
        <v>1003842.03</v>
      </c>
      <c r="T51" s="17">
        <f t="shared" si="31"/>
        <v>1003842.03</v>
      </c>
      <c r="U51" s="17">
        <f t="shared" si="31"/>
        <v>1003842.03</v>
      </c>
      <c r="V51" s="17">
        <f t="shared" si="31"/>
        <v>1003842.03</v>
      </c>
      <c r="W51" s="17">
        <f t="shared" si="31"/>
        <v>1003842.03</v>
      </c>
      <c r="X51" s="17">
        <f t="shared" si="31"/>
        <v>1003842.03</v>
      </c>
      <c r="Y51" s="17">
        <f t="shared" si="31"/>
        <v>1003842.03</v>
      </c>
      <c r="Z51" s="17">
        <f t="shared" si="31"/>
        <v>1003842.03</v>
      </c>
      <c r="AA51" s="17">
        <f t="shared" si="31"/>
        <v>1003842.03</v>
      </c>
      <c r="AB51" s="17">
        <f t="shared" si="31"/>
        <v>1003842.03</v>
      </c>
      <c r="AC51" s="17">
        <f t="shared" si="31"/>
        <v>1003842.03</v>
      </c>
      <c r="AD51" s="17">
        <f t="shared" si="31"/>
        <v>1003842.03</v>
      </c>
      <c r="AE51" s="17">
        <f t="shared" si="31"/>
        <v>1003842.03</v>
      </c>
      <c r="AF51" s="17">
        <f t="shared" si="31"/>
        <v>1003842.03</v>
      </c>
      <c r="AG51" s="17">
        <f t="shared" si="31"/>
        <v>1003842.03</v>
      </c>
      <c r="AH51" s="17">
        <f t="shared" si="31"/>
        <v>1003842.03</v>
      </c>
      <c r="AI51" s="17">
        <f t="shared" si="31"/>
        <v>1003842.03</v>
      </c>
      <c r="AJ51" s="17">
        <f t="shared" si="31"/>
        <v>1003842.03</v>
      </c>
      <c r="AK51" s="17">
        <f t="shared" si="31"/>
        <v>1003842.03</v>
      </c>
      <c r="AL51" s="17">
        <f t="shared" si="31"/>
        <v>1003842.03</v>
      </c>
      <c r="AM51" s="17">
        <f t="shared" si="31"/>
        <v>1003842.03</v>
      </c>
      <c r="AN51" s="17">
        <f t="shared" si="31"/>
        <v>1003842.03</v>
      </c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  <c r="BF51" s="48"/>
      <c r="BG51" s="48"/>
      <c r="BH51" s="48"/>
      <c r="BI51" s="48"/>
      <c r="BJ51" s="48"/>
      <c r="BK51" s="48"/>
      <c r="BL51" s="48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48"/>
      <c r="BY51" s="48"/>
      <c r="BZ51" s="48"/>
      <c r="CA51" s="48"/>
      <c r="CB51" s="48"/>
      <c r="CC51" s="48"/>
      <c r="CD51" s="48"/>
      <c r="CE51" s="48"/>
      <c r="CF51" s="48"/>
      <c r="CG51" s="48"/>
      <c r="CH51" s="48"/>
      <c r="CI51" s="48"/>
      <c r="CJ51" s="48"/>
      <c r="CK51" s="48"/>
      <c r="CL51" s="48"/>
      <c r="CM51" s="48"/>
      <c r="CN51" s="48"/>
      <c r="CO51" s="48"/>
      <c r="CP51" s="48"/>
      <c r="CQ51" s="48"/>
      <c r="CR51" s="48"/>
      <c r="CS51" s="48"/>
      <c r="CT51" s="48"/>
      <c r="CU51" s="48"/>
      <c r="CV51" s="48"/>
      <c r="CW51" s="48"/>
      <c r="CX51" s="48"/>
      <c r="CY51" s="48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</row>
    <row r="52" spans="1:170" s="17" customFormat="1" x14ac:dyDescent="0.3">
      <c r="A52" s="17" t="s">
        <v>59</v>
      </c>
      <c r="B52" s="52"/>
      <c r="C52" s="52"/>
      <c r="E52" s="17">
        <v>1088648</v>
      </c>
      <c r="F52" s="17">
        <v>481238</v>
      </c>
      <c r="G52" s="17">
        <v>1179429</v>
      </c>
      <c r="H52" s="17">
        <v>287516</v>
      </c>
      <c r="I52" s="17">
        <v>1267483</v>
      </c>
      <c r="J52" s="17">
        <v>916989</v>
      </c>
      <c r="K52" s="17">
        <v>3401000</v>
      </c>
      <c r="L52" s="17">
        <v>860863</v>
      </c>
      <c r="M52" s="17">
        <f>L52*1.01</f>
        <v>869471.63</v>
      </c>
      <c r="N52" s="17">
        <f>M52</f>
        <v>869471.63</v>
      </c>
      <c r="O52" s="17">
        <f t="shared" ref="O52:AN52" si="32">N52</f>
        <v>869471.63</v>
      </c>
      <c r="P52" s="17">
        <f t="shared" si="32"/>
        <v>869471.63</v>
      </c>
      <c r="Q52" s="17">
        <f t="shared" si="32"/>
        <v>869471.63</v>
      </c>
      <c r="R52" s="17">
        <f t="shared" si="32"/>
        <v>869471.63</v>
      </c>
      <c r="S52" s="17">
        <f t="shared" si="32"/>
        <v>869471.63</v>
      </c>
      <c r="T52" s="17">
        <f t="shared" si="32"/>
        <v>869471.63</v>
      </c>
      <c r="U52" s="17">
        <f t="shared" si="32"/>
        <v>869471.63</v>
      </c>
      <c r="V52" s="17">
        <f t="shared" si="32"/>
        <v>869471.63</v>
      </c>
      <c r="W52" s="17">
        <f t="shared" si="32"/>
        <v>869471.63</v>
      </c>
      <c r="X52" s="17">
        <f t="shared" si="32"/>
        <v>869471.63</v>
      </c>
      <c r="Y52" s="17">
        <f t="shared" si="32"/>
        <v>869471.63</v>
      </c>
      <c r="Z52" s="17">
        <f t="shared" si="32"/>
        <v>869471.63</v>
      </c>
      <c r="AA52" s="17">
        <f t="shared" si="32"/>
        <v>869471.63</v>
      </c>
      <c r="AB52" s="17">
        <f t="shared" si="32"/>
        <v>869471.63</v>
      </c>
      <c r="AC52" s="17">
        <f t="shared" si="32"/>
        <v>869471.63</v>
      </c>
      <c r="AD52" s="17">
        <f t="shared" si="32"/>
        <v>869471.63</v>
      </c>
      <c r="AE52" s="17">
        <f t="shared" si="32"/>
        <v>869471.63</v>
      </c>
      <c r="AF52" s="17">
        <f t="shared" si="32"/>
        <v>869471.63</v>
      </c>
      <c r="AG52" s="17">
        <f t="shared" si="32"/>
        <v>869471.63</v>
      </c>
      <c r="AH52" s="17">
        <f t="shared" si="32"/>
        <v>869471.63</v>
      </c>
      <c r="AI52" s="17">
        <f t="shared" si="32"/>
        <v>869471.63</v>
      </c>
      <c r="AJ52" s="17">
        <f t="shared" si="32"/>
        <v>869471.63</v>
      </c>
      <c r="AK52" s="17">
        <f t="shared" si="32"/>
        <v>869471.63</v>
      </c>
      <c r="AL52" s="17">
        <f t="shared" si="32"/>
        <v>869471.63</v>
      </c>
      <c r="AM52" s="17">
        <f t="shared" si="32"/>
        <v>869471.63</v>
      </c>
      <c r="AN52" s="17">
        <f t="shared" si="32"/>
        <v>869471.63</v>
      </c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50"/>
      <c r="BD52" s="50"/>
      <c r="BE52" s="50"/>
      <c r="BF52" s="50"/>
      <c r="BG52" s="50"/>
      <c r="BH52" s="50"/>
      <c r="BI52" s="50"/>
      <c r="BJ52" s="50"/>
      <c r="BK52" s="50"/>
      <c r="BL52" s="50"/>
      <c r="BM52" s="50"/>
      <c r="BN52" s="50"/>
      <c r="BO52" s="50"/>
      <c r="BP52" s="50"/>
      <c r="BQ52" s="50"/>
      <c r="BR52" s="50"/>
      <c r="BS52" s="50"/>
      <c r="BT52" s="50"/>
      <c r="BU52" s="50"/>
      <c r="BV52" s="50"/>
      <c r="BW52" s="50"/>
      <c r="BX52" s="50"/>
      <c r="BY52" s="50"/>
      <c r="BZ52" s="50"/>
      <c r="CA52" s="50"/>
      <c r="CB52" s="50"/>
      <c r="CC52" s="50"/>
      <c r="CD52" s="50"/>
      <c r="CE52" s="50"/>
      <c r="CF52" s="50"/>
      <c r="CG52" s="50"/>
      <c r="CH52" s="50"/>
      <c r="CI52" s="50"/>
      <c r="CJ52" s="50"/>
      <c r="CK52" s="50"/>
      <c r="CL52" s="50"/>
      <c r="CM52" s="50"/>
      <c r="CN52" s="50"/>
      <c r="CO52" s="50"/>
      <c r="CP52" s="50"/>
      <c r="CQ52" s="50"/>
      <c r="CR52" s="50"/>
      <c r="CS52" s="50"/>
      <c r="CT52" s="50"/>
      <c r="CU52" s="50"/>
      <c r="CV52" s="50"/>
      <c r="CW52" s="50"/>
      <c r="CX52" s="50"/>
      <c r="CY52" s="50"/>
      <c r="CZ52" s="39"/>
      <c r="DA52" s="39"/>
      <c r="DB52" s="39"/>
      <c r="DC52" s="39"/>
      <c r="DD52" s="39"/>
      <c r="DE52" s="39"/>
      <c r="DF52" s="39"/>
      <c r="DG52" s="39"/>
      <c r="DH52" s="39"/>
      <c r="DI52" s="39"/>
      <c r="DJ52" s="39"/>
      <c r="DK52" s="39"/>
      <c r="DL52" s="39"/>
      <c r="DM52" s="39"/>
      <c r="DN52" s="39"/>
      <c r="DO52" s="39"/>
      <c r="DP52" s="39"/>
      <c r="DQ52" s="39"/>
      <c r="DR52" s="39"/>
      <c r="DS52" s="39"/>
      <c r="DT52" s="39"/>
      <c r="DU52" s="39"/>
      <c r="DV52" s="39"/>
      <c r="DW52" s="39"/>
      <c r="DX52" s="39"/>
      <c r="DY52" s="39"/>
      <c r="DZ52" s="39"/>
      <c r="EA52" s="39"/>
      <c r="EB52" s="39"/>
      <c r="EC52" s="39"/>
      <c r="ED52" s="39"/>
      <c r="EE52" s="39"/>
      <c r="EF52" s="39"/>
      <c r="EG52" s="39"/>
      <c r="EH52" s="39"/>
      <c r="EI52" s="39"/>
      <c r="EJ52" s="39"/>
      <c r="EK52" s="39"/>
      <c r="EL52" s="39"/>
      <c r="EM52" s="39"/>
      <c r="EN52" s="39"/>
      <c r="EO52" s="39"/>
      <c r="EP52" s="39"/>
      <c r="EQ52" s="39"/>
      <c r="ER52" s="39"/>
      <c r="ES52" s="39"/>
      <c r="ET52" s="39"/>
      <c r="EU52" s="39"/>
      <c r="EV52" s="39"/>
      <c r="EW52" s="39"/>
      <c r="EX52" s="39"/>
      <c r="EY52" s="39"/>
      <c r="EZ52" s="39"/>
      <c r="FA52" s="39"/>
      <c r="FB52" s="39"/>
      <c r="FC52" s="39"/>
      <c r="FD52" s="39"/>
      <c r="FE52" s="39"/>
      <c r="FF52" s="39"/>
      <c r="FG52" s="39"/>
      <c r="FH52" s="39"/>
      <c r="FI52" s="39"/>
      <c r="FJ52" s="39"/>
      <c r="FK52" s="39"/>
      <c r="FL52" s="39"/>
      <c r="FM52" s="39"/>
      <c r="FN52" s="39"/>
    </row>
    <row r="53" spans="1:170" x14ac:dyDescent="0.3">
      <c r="A53" s="53"/>
      <c r="B53" s="53"/>
      <c r="C53" s="53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  <c r="BF53" s="48"/>
      <c r="BG53" s="48"/>
      <c r="BH53" s="48"/>
      <c r="BI53" s="48"/>
      <c r="BJ53" s="48"/>
      <c r="BK53" s="48"/>
      <c r="BL53" s="48"/>
      <c r="BM53" s="48"/>
      <c r="BN53" s="48"/>
      <c r="BO53" s="48"/>
      <c r="BP53" s="48"/>
      <c r="BQ53" s="48"/>
      <c r="BR53" s="48"/>
      <c r="BS53" s="48"/>
      <c r="BT53" s="48"/>
      <c r="BU53" s="48"/>
      <c r="BV53" s="48"/>
      <c r="BW53" s="48"/>
      <c r="BX53" s="48"/>
      <c r="BY53" s="48"/>
      <c r="BZ53" s="48"/>
      <c r="CA53" s="48"/>
      <c r="CB53" s="48"/>
      <c r="CC53" s="48"/>
      <c r="CD53" s="48"/>
      <c r="CE53" s="48"/>
      <c r="CF53" s="48"/>
      <c r="CG53" s="48"/>
      <c r="CH53" s="48"/>
      <c r="CI53" s="48"/>
      <c r="CJ53" s="48"/>
      <c r="CK53" s="48"/>
      <c r="CL53" s="48"/>
      <c r="CM53" s="48"/>
      <c r="CN53" s="48"/>
      <c r="CO53" s="48"/>
      <c r="CP53" s="48"/>
      <c r="CQ53" s="48"/>
      <c r="CR53" s="48"/>
      <c r="CS53" s="48"/>
      <c r="CT53" s="48"/>
      <c r="CU53" s="48"/>
      <c r="CV53" s="48"/>
      <c r="CW53" s="48"/>
      <c r="CX53" s="48"/>
      <c r="CY53" s="48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</row>
    <row r="54" spans="1:170" s="46" customFormat="1" x14ac:dyDescent="0.3">
      <c r="A54" s="54" t="s">
        <v>60</v>
      </c>
      <c r="B54" s="55"/>
      <c r="C54" s="55"/>
      <c r="E54" s="47">
        <f>E47+E50-E51-E52</f>
        <v>2202396</v>
      </c>
      <c r="F54" s="47">
        <f t="shared" ref="F54:AN54" si="33">F47+F50-F51-F52</f>
        <v>1501499</v>
      </c>
      <c r="G54" s="47">
        <f t="shared" si="33"/>
        <v>515571</v>
      </c>
      <c r="H54" s="47">
        <f t="shared" si="33"/>
        <v>2199606</v>
      </c>
      <c r="I54" s="47">
        <f t="shared" si="33"/>
        <v>926907</v>
      </c>
      <c r="J54" s="47">
        <f t="shared" si="33"/>
        <v>531315</v>
      </c>
      <c r="K54" s="47">
        <f t="shared" si="33"/>
        <v>-3524759.7400000021</v>
      </c>
      <c r="L54" s="47">
        <f t="shared" si="33"/>
        <v>472984.52</v>
      </c>
      <c r="M54" s="47">
        <f t="shared" si="33"/>
        <v>689131.40971200413</v>
      </c>
      <c r="N54" s="47">
        <f t="shared" si="33"/>
        <v>689131.37491199852</v>
      </c>
      <c r="O54" s="47">
        <f t="shared" si="33"/>
        <v>689131.37491199852</v>
      </c>
      <c r="P54" s="47">
        <f t="shared" si="33"/>
        <v>689131.37491199852</v>
      </c>
      <c r="Q54" s="47">
        <f t="shared" si="33"/>
        <v>689131.37491199852</v>
      </c>
      <c r="R54" s="47">
        <f t="shared" si="33"/>
        <v>689131.37491199852</v>
      </c>
      <c r="S54" s="47">
        <f t="shared" si="33"/>
        <v>689131.37491199852</v>
      </c>
      <c r="T54" s="47">
        <f t="shared" si="33"/>
        <v>689131.37491199852</v>
      </c>
      <c r="U54" s="47">
        <f t="shared" si="33"/>
        <v>689131.37491199852</v>
      </c>
      <c r="V54" s="47">
        <f t="shared" si="33"/>
        <v>689131.37491199852</v>
      </c>
      <c r="W54" s="47">
        <f t="shared" si="33"/>
        <v>689131.37491199852</v>
      </c>
      <c r="X54" s="47">
        <f t="shared" si="33"/>
        <v>689131.37491199852</v>
      </c>
      <c r="Y54" s="47">
        <f t="shared" si="33"/>
        <v>689131.37491199852</v>
      </c>
      <c r="Z54" s="47">
        <f t="shared" si="33"/>
        <v>689131.37491199852</v>
      </c>
      <c r="AA54" s="47">
        <f t="shared" si="33"/>
        <v>689131.37491199852</v>
      </c>
      <c r="AB54" s="47">
        <f t="shared" si="33"/>
        <v>689131.37491199852</v>
      </c>
      <c r="AC54" s="47">
        <f t="shared" si="33"/>
        <v>689131.37491199852</v>
      </c>
      <c r="AD54" s="47">
        <f t="shared" si="33"/>
        <v>689131.37491199852</v>
      </c>
      <c r="AE54" s="47">
        <f t="shared" si="33"/>
        <v>689131.37491199852</v>
      </c>
      <c r="AF54" s="47">
        <f t="shared" si="33"/>
        <v>689131.37491199852</v>
      </c>
      <c r="AG54" s="47">
        <f t="shared" si="33"/>
        <v>689131.37491199852</v>
      </c>
      <c r="AH54" s="47">
        <f t="shared" si="33"/>
        <v>689131.37491199852</v>
      </c>
      <c r="AI54" s="47">
        <f t="shared" si="33"/>
        <v>689131.37491199852</v>
      </c>
      <c r="AJ54" s="47">
        <f t="shared" si="33"/>
        <v>689131.37491199852</v>
      </c>
      <c r="AK54" s="47">
        <f t="shared" si="33"/>
        <v>689131.37491199852</v>
      </c>
      <c r="AL54" s="47">
        <f t="shared" si="33"/>
        <v>689131.37491199852</v>
      </c>
      <c r="AM54" s="47">
        <f t="shared" si="33"/>
        <v>689131.37491199852</v>
      </c>
      <c r="AN54" s="47">
        <f t="shared" si="33"/>
        <v>689131.37491199852</v>
      </c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  <c r="BF54" s="48"/>
      <c r="BG54" s="48"/>
      <c r="BH54" s="48"/>
      <c r="BI54" s="48"/>
      <c r="BJ54" s="48"/>
      <c r="BK54" s="48"/>
      <c r="BL54" s="48"/>
      <c r="BM54" s="48"/>
      <c r="BN54" s="48"/>
      <c r="BO54" s="48"/>
      <c r="BP54" s="48"/>
      <c r="BQ54" s="48"/>
      <c r="BR54" s="48"/>
      <c r="BS54" s="48"/>
      <c r="BT54" s="48"/>
      <c r="BU54" s="48"/>
      <c r="BV54" s="48"/>
      <c r="BW54" s="48"/>
      <c r="BX54" s="48"/>
      <c r="BY54" s="48"/>
      <c r="BZ54" s="48"/>
      <c r="CA54" s="48"/>
      <c r="CB54" s="48"/>
      <c r="CC54" s="48"/>
      <c r="CD54" s="48"/>
      <c r="CE54" s="48"/>
      <c r="CF54" s="48"/>
      <c r="CG54" s="48"/>
      <c r="CH54" s="48"/>
      <c r="CI54" s="48"/>
      <c r="CJ54" s="48"/>
      <c r="CK54" s="48"/>
      <c r="CL54" s="48"/>
      <c r="CM54" s="48"/>
      <c r="CN54" s="48"/>
      <c r="CO54" s="48"/>
      <c r="CP54" s="48"/>
      <c r="CQ54" s="48"/>
      <c r="CR54" s="48"/>
      <c r="CS54" s="48"/>
      <c r="CT54" s="48"/>
      <c r="CU54" s="48"/>
      <c r="CV54" s="48"/>
      <c r="CW54" s="48"/>
      <c r="CX54" s="48"/>
      <c r="CY54" s="48"/>
      <c r="CZ54" s="48"/>
      <c r="DA54" s="48"/>
      <c r="DB54" s="48"/>
      <c r="DC54" s="48"/>
      <c r="DD54" s="48"/>
      <c r="DE54" s="48"/>
      <c r="DF54" s="48"/>
      <c r="DG54" s="48"/>
      <c r="DH54" s="48"/>
      <c r="DI54" s="48"/>
      <c r="DJ54" s="48"/>
      <c r="DK54" s="48"/>
      <c r="DL54" s="48"/>
      <c r="DM54" s="48"/>
      <c r="DN54" s="48"/>
      <c r="DO54" s="48"/>
      <c r="DP54" s="48"/>
      <c r="DQ54" s="48"/>
      <c r="DR54" s="48"/>
      <c r="DS54" s="48"/>
      <c r="DT54" s="48"/>
      <c r="DU54" s="48"/>
      <c r="DV54" s="48"/>
      <c r="DW54" s="48"/>
      <c r="DX54" s="48"/>
      <c r="DY54" s="48"/>
      <c r="DZ54" s="48"/>
      <c r="EA54" s="48"/>
      <c r="EB54" s="48"/>
      <c r="EC54" s="48"/>
      <c r="ED54" s="48"/>
      <c r="EE54" s="48"/>
      <c r="EF54" s="48"/>
      <c r="EG54" s="48"/>
      <c r="EH54" s="48"/>
      <c r="EI54" s="48"/>
      <c r="EJ54" s="48"/>
      <c r="EK54" s="48"/>
      <c r="EL54" s="48"/>
      <c r="EM54" s="48"/>
      <c r="EN54" s="48"/>
      <c r="EO54" s="48"/>
      <c r="EP54" s="48"/>
      <c r="EQ54" s="48"/>
      <c r="ER54" s="48"/>
      <c r="ES54" s="48"/>
      <c r="ET54" s="48"/>
      <c r="EU54" s="48"/>
      <c r="EV54" s="48"/>
      <c r="EW54" s="48"/>
      <c r="EX54" s="48"/>
      <c r="EY54" s="48"/>
      <c r="EZ54" s="48"/>
      <c r="FA54" s="48"/>
      <c r="FB54" s="48"/>
      <c r="FC54" s="48"/>
      <c r="FD54" s="48"/>
      <c r="FE54" s="48"/>
      <c r="FF54" s="48"/>
      <c r="FG54" s="48"/>
      <c r="FH54" s="48"/>
      <c r="FI54" s="48"/>
      <c r="FJ54" s="48"/>
      <c r="FK54" s="48"/>
      <c r="FL54" s="48"/>
      <c r="FM54" s="48"/>
      <c r="FN54" s="48"/>
    </row>
    <row r="55" spans="1:170" s="3" customFormat="1" x14ac:dyDescent="0.3">
      <c r="A55" s="56"/>
      <c r="B55" s="57"/>
      <c r="C55" s="57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  <c r="BF55" s="48"/>
      <c r="BG55" s="48"/>
      <c r="BH55" s="48"/>
      <c r="BI55" s="48"/>
      <c r="BJ55" s="48"/>
      <c r="BK55" s="48"/>
      <c r="BL55" s="48"/>
      <c r="BM55" s="48"/>
      <c r="BN55" s="48"/>
      <c r="BO55" s="48"/>
      <c r="BP55" s="48"/>
      <c r="BQ55" s="48"/>
      <c r="BR55" s="48"/>
      <c r="BS55" s="48"/>
      <c r="BT55" s="48"/>
      <c r="BU55" s="48"/>
      <c r="BV55" s="48"/>
      <c r="BW55" s="48"/>
      <c r="BX55" s="48"/>
      <c r="BY55" s="48"/>
      <c r="BZ55" s="48"/>
      <c r="CA55" s="48"/>
      <c r="CB55" s="48"/>
      <c r="CC55" s="48"/>
      <c r="CD55" s="48"/>
      <c r="CE55" s="48"/>
      <c r="CF55" s="48"/>
      <c r="CG55" s="48"/>
      <c r="CH55" s="48"/>
      <c r="CI55" s="48"/>
      <c r="CJ55" s="48"/>
      <c r="CK55" s="48"/>
      <c r="CL55" s="48"/>
      <c r="CM55" s="48"/>
      <c r="CN55" s="48"/>
      <c r="CO55" s="48"/>
      <c r="CP55" s="48"/>
      <c r="CQ55" s="48"/>
      <c r="CR55" s="48"/>
      <c r="CS55" s="48"/>
      <c r="CT55" s="48"/>
      <c r="CU55" s="48"/>
      <c r="CV55" s="48"/>
      <c r="CW55" s="48"/>
      <c r="CX55" s="48"/>
      <c r="CY55" s="48"/>
    </row>
    <row r="56" spans="1:170" s="3" customFormat="1" x14ac:dyDescent="0.3">
      <c r="A56" s="59" t="s">
        <v>61</v>
      </c>
      <c r="B56" s="57"/>
      <c r="C56" s="57"/>
      <c r="E56" s="39">
        <v>9805</v>
      </c>
      <c r="F56" s="39">
        <v>12061</v>
      </c>
      <c r="G56" s="39">
        <v>13511</v>
      </c>
      <c r="H56" s="39">
        <v>16916</v>
      </c>
      <c r="I56" s="39">
        <v>21638</v>
      </c>
      <c r="J56" s="39">
        <v>24099</v>
      </c>
      <c r="K56" s="39">
        <v>0</v>
      </c>
      <c r="L56" s="39">
        <v>16338</v>
      </c>
      <c r="M56" s="39">
        <f>L56*1.02</f>
        <v>16664.760000000002</v>
      </c>
      <c r="N56" s="39">
        <f>M56</f>
        <v>16664.760000000002</v>
      </c>
      <c r="O56" s="39">
        <f t="shared" ref="O56:AN56" si="34">N56</f>
        <v>16664.760000000002</v>
      </c>
      <c r="P56" s="39">
        <f t="shared" si="34"/>
        <v>16664.760000000002</v>
      </c>
      <c r="Q56" s="39">
        <f t="shared" si="34"/>
        <v>16664.760000000002</v>
      </c>
      <c r="R56" s="39">
        <f t="shared" si="34"/>
        <v>16664.760000000002</v>
      </c>
      <c r="S56" s="39">
        <f t="shared" si="34"/>
        <v>16664.760000000002</v>
      </c>
      <c r="T56" s="39">
        <f t="shared" si="34"/>
        <v>16664.760000000002</v>
      </c>
      <c r="U56" s="39">
        <f t="shared" si="34"/>
        <v>16664.760000000002</v>
      </c>
      <c r="V56" s="39">
        <f t="shared" si="34"/>
        <v>16664.760000000002</v>
      </c>
      <c r="W56" s="39">
        <f t="shared" si="34"/>
        <v>16664.760000000002</v>
      </c>
      <c r="X56" s="39">
        <f t="shared" si="34"/>
        <v>16664.760000000002</v>
      </c>
      <c r="Y56" s="39">
        <f t="shared" si="34"/>
        <v>16664.760000000002</v>
      </c>
      <c r="Z56" s="39">
        <f t="shared" si="34"/>
        <v>16664.760000000002</v>
      </c>
      <c r="AA56" s="39">
        <f t="shared" si="34"/>
        <v>16664.760000000002</v>
      </c>
      <c r="AB56" s="39">
        <f t="shared" si="34"/>
        <v>16664.760000000002</v>
      </c>
      <c r="AC56" s="39">
        <f t="shared" si="34"/>
        <v>16664.760000000002</v>
      </c>
      <c r="AD56" s="39">
        <f t="shared" si="34"/>
        <v>16664.760000000002</v>
      </c>
      <c r="AE56" s="39">
        <f t="shared" si="34"/>
        <v>16664.760000000002</v>
      </c>
      <c r="AF56" s="39">
        <f t="shared" si="34"/>
        <v>16664.760000000002</v>
      </c>
      <c r="AG56" s="39">
        <f t="shared" si="34"/>
        <v>16664.760000000002</v>
      </c>
      <c r="AH56" s="39">
        <f t="shared" si="34"/>
        <v>16664.760000000002</v>
      </c>
      <c r="AI56" s="39">
        <f t="shared" si="34"/>
        <v>16664.760000000002</v>
      </c>
      <c r="AJ56" s="39">
        <f t="shared" si="34"/>
        <v>16664.760000000002</v>
      </c>
      <c r="AK56" s="39">
        <f t="shared" si="34"/>
        <v>16664.760000000002</v>
      </c>
      <c r="AL56" s="39">
        <f t="shared" si="34"/>
        <v>16664.760000000002</v>
      </c>
      <c r="AM56" s="39">
        <f t="shared" si="34"/>
        <v>16664.760000000002</v>
      </c>
      <c r="AN56" s="39">
        <f t="shared" si="34"/>
        <v>16664.760000000002</v>
      </c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  <c r="BF56" s="48"/>
      <c r="BG56" s="48"/>
      <c r="BH56" s="48"/>
      <c r="BI56" s="48"/>
      <c r="BJ56" s="48"/>
      <c r="BK56" s="48"/>
      <c r="BL56" s="48"/>
      <c r="BM56" s="48"/>
      <c r="BN56" s="48"/>
      <c r="BO56" s="48"/>
      <c r="BP56" s="48"/>
      <c r="BQ56" s="48"/>
      <c r="BR56" s="48"/>
      <c r="BS56" s="48"/>
      <c r="BT56" s="48"/>
      <c r="BU56" s="48"/>
      <c r="BV56" s="48"/>
      <c r="BW56" s="48"/>
      <c r="BX56" s="48"/>
      <c r="BY56" s="48"/>
      <c r="BZ56" s="48"/>
      <c r="CA56" s="48"/>
      <c r="CB56" s="48"/>
      <c r="CC56" s="48"/>
      <c r="CD56" s="48"/>
      <c r="CE56" s="48"/>
      <c r="CF56" s="48"/>
      <c r="CG56" s="48"/>
      <c r="CH56" s="48"/>
      <c r="CI56" s="48"/>
      <c r="CJ56" s="48"/>
      <c r="CK56" s="48"/>
      <c r="CL56" s="48"/>
      <c r="CM56" s="48"/>
      <c r="CN56" s="48"/>
      <c r="CO56" s="48"/>
      <c r="CP56" s="48"/>
      <c r="CQ56" s="48"/>
      <c r="CR56" s="48"/>
      <c r="CS56" s="48"/>
      <c r="CT56" s="48"/>
      <c r="CU56" s="48"/>
      <c r="CV56" s="48"/>
      <c r="CW56" s="48"/>
      <c r="CX56" s="48"/>
      <c r="CY56" s="48"/>
    </row>
    <row r="57" spans="1:170" s="3" customFormat="1" x14ac:dyDescent="0.3">
      <c r="A57" s="59" t="s">
        <v>62</v>
      </c>
      <c r="B57" s="57"/>
      <c r="C57" s="57"/>
      <c r="E57" s="93">
        <v>0</v>
      </c>
      <c r="F57" s="93">
        <v>0</v>
      </c>
      <c r="G57" s="93">
        <v>0</v>
      </c>
      <c r="H57" s="93">
        <v>0</v>
      </c>
      <c r="I57" s="93">
        <v>0</v>
      </c>
      <c r="J57" s="93">
        <v>0</v>
      </c>
      <c r="K57" s="93">
        <v>0</v>
      </c>
      <c r="L57" s="93">
        <v>0</v>
      </c>
      <c r="M57" s="93">
        <v>0</v>
      </c>
      <c r="N57" s="93">
        <v>0</v>
      </c>
      <c r="O57" s="93">
        <v>0</v>
      </c>
      <c r="P57" s="93">
        <v>0</v>
      </c>
      <c r="Q57" s="93">
        <v>0</v>
      </c>
      <c r="R57" s="93">
        <v>0</v>
      </c>
      <c r="S57" s="93">
        <v>0</v>
      </c>
      <c r="T57" s="93">
        <v>0</v>
      </c>
      <c r="U57" s="93">
        <v>0</v>
      </c>
      <c r="V57" s="93">
        <v>0</v>
      </c>
      <c r="W57" s="93">
        <v>0</v>
      </c>
      <c r="X57" s="93">
        <v>0</v>
      </c>
      <c r="Y57" s="93">
        <v>0</v>
      </c>
      <c r="Z57" s="93">
        <v>0</v>
      </c>
      <c r="AA57" s="93">
        <v>0</v>
      </c>
      <c r="AB57" s="93">
        <v>0</v>
      </c>
      <c r="AC57" s="93">
        <v>0</v>
      </c>
      <c r="AD57" s="93">
        <v>0</v>
      </c>
      <c r="AE57" s="93">
        <v>0</v>
      </c>
      <c r="AF57" s="93">
        <v>0</v>
      </c>
      <c r="AG57" s="93">
        <v>0</v>
      </c>
      <c r="AH57" s="93">
        <v>0</v>
      </c>
      <c r="AI57" s="93">
        <v>0</v>
      </c>
      <c r="AJ57" s="93">
        <v>0</v>
      </c>
      <c r="AK57" s="93">
        <v>0</v>
      </c>
      <c r="AL57" s="93">
        <v>0</v>
      </c>
      <c r="AM57" s="93">
        <v>0</v>
      </c>
      <c r="AN57" s="93">
        <v>0</v>
      </c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8"/>
      <c r="BE57" s="48"/>
      <c r="BF57" s="48"/>
      <c r="BG57" s="48"/>
      <c r="BH57" s="48"/>
      <c r="BI57" s="48"/>
      <c r="BJ57" s="48"/>
      <c r="BK57" s="48"/>
      <c r="BL57" s="48"/>
      <c r="BM57" s="48"/>
      <c r="BN57" s="48"/>
      <c r="BO57" s="48"/>
      <c r="BP57" s="48"/>
      <c r="BQ57" s="48"/>
      <c r="BR57" s="48"/>
      <c r="BS57" s="48"/>
      <c r="BT57" s="48"/>
      <c r="BU57" s="48"/>
      <c r="BV57" s="48"/>
      <c r="BW57" s="48"/>
      <c r="BX57" s="48"/>
      <c r="BY57" s="48"/>
      <c r="BZ57" s="48"/>
      <c r="CA57" s="48"/>
      <c r="CB57" s="48"/>
      <c r="CC57" s="48"/>
      <c r="CD57" s="48"/>
      <c r="CE57" s="48"/>
      <c r="CF57" s="48"/>
      <c r="CG57" s="48"/>
      <c r="CH57" s="48"/>
      <c r="CI57" s="48"/>
      <c r="CJ57" s="48"/>
      <c r="CK57" s="48"/>
      <c r="CL57" s="48"/>
      <c r="CM57" s="48"/>
      <c r="CN57" s="48"/>
      <c r="CO57" s="48"/>
      <c r="CP57" s="48"/>
      <c r="CQ57" s="48"/>
      <c r="CR57" s="48"/>
      <c r="CS57" s="48"/>
      <c r="CT57" s="48"/>
      <c r="CU57" s="48"/>
      <c r="CV57" s="48"/>
      <c r="CW57" s="48"/>
      <c r="CX57" s="48"/>
      <c r="CY57" s="48"/>
    </row>
    <row r="58" spans="1:170" s="3" customFormat="1" x14ac:dyDescent="0.3">
      <c r="A58" s="59"/>
      <c r="B58" s="57"/>
      <c r="C58" s="57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8"/>
      <c r="AK58" s="58"/>
      <c r="AL58" s="58"/>
      <c r="AM58" s="58"/>
      <c r="AN58" s="5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  <c r="BF58" s="48"/>
      <c r="BG58" s="48"/>
      <c r="BH58" s="48"/>
      <c r="BI58" s="48"/>
      <c r="BJ58" s="48"/>
      <c r="BK58" s="48"/>
      <c r="BL58" s="48"/>
      <c r="BM58" s="48"/>
      <c r="BN58" s="48"/>
      <c r="BO58" s="48"/>
      <c r="BP58" s="48"/>
      <c r="BQ58" s="48"/>
      <c r="BR58" s="48"/>
      <c r="BS58" s="48"/>
      <c r="BT58" s="48"/>
      <c r="BU58" s="48"/>
      <c r="BV58" s="48"/>
      <c r="BW58" s="48"/>
      <c r="BX58" s="48"/>
      <c r="BY58" s="48"/>
      <c r="BZ58" s="48"/>
      <c r="CA58" s="48"/>
      <c r="CB58" s="48"/>
      <c r="CC58" s="48"/>
      <c r="CD58" s="48"/>
      <c r="CE58" s="48"/>
      <c r="CF58" s="48"/>
      <c r="CG58" s="48"/>
      <c r="CH58" s="48"/>
      <c r="CI58" s="48"/>
      <c r="CJ58" s="48"/>
      <c r="CK58" s="48"/>
      <c r="CL58" s="48"/>
      <c r="CM58" s="48"/>
      <c r="CN58" s="48"/>
      <c r="CO58" s="48"/>
      <c r="CP58" s="48"/>
      <c r="CQ58" s="48"/>
      <c r="CR58" s="48"/>
      <c r="CS58" s="48"/>
      <c r="CT58" s="48"/>
      <c r="CU58" s="48"/>
      <c r="CV58" s="48"/>
      <c r="CW58" s="48"/>
      <c r="CX58" s="48"/>
      <c r="CY58" s="48"/>
    </row>
    <row r="59" spans="1:170" s="62" customFormat="1" ht="14.5" thickBot="1" x14ac:dyDescent="0.35">
      <c r="A59" s="60" t="s">
        <v>63</v>
      </c>
      <c r="B59" s="61"/>
      <c r="C59" s="61"/>
      <c r="E59" s="63">
        <f>E54-E56-E57</f>
        <v>2192591</v>
      </c>
      <c r="F59" s="63">
        <f t="shared" ref="F59:AN59" si="35">F54-F56-F57</f>
        <v>1489438</v>
      </c>
      <c r="G59" s="63">
        <f t="shared" si="35"/>
        <v>502060</v>
      </c>
      <c r="H59" s="63">
        <f t="shared" si="35"/>
        <v>2182690</v>
      </c>
      <c r="I59" s="63">
        <f t="shared" si="35"/>
        <v>905269</v>
      </c>
      <c r="J59" s="63">
        <f t="shared" si="35"/>
        <v>507216</v>
      </c>
      <c r="K59" s="63">
        <f t="shared" si="35"/>
        <v>-3524759.7400000021</v>
      </c>
      <c r="L59" s="63">
        <f t="shared" si="35"/>
        <v>456646.52</v>
      </c>
      <c r="M59" s="63">
        <f t="shared" si="35"/>
        <v>672466.64971200412</v>
      </c>
      <c r="N59" s="63">
        <f t="shared" si="35"/>
        <v>672466.61491199851</v>
      </c>
      <c r="O59" s="63">
        <f t="shared" si="35"/>
        <v>672466.61491199851</v>
      </c>
      <c r="P59" s="63">
        <f t="shared" si="35"/>
        <v>672466.61491199851</v>
      </c>
      <c r="Q59" s="63">
        <f t="shared" si="35"/>
        <v>672466.61491199851</v>
      </c>
      <c r="R59" s="63">
        <f t="shared" si="35"/>
        <v>672466.61491199851</v>
      </c>
      <c r="S59" s="63">
        <f t="shared" si="35"/>
        <v>672466.61491199851</v>
      </c>
      <c r="T59" s="63">
        <f t="shared" si="35"/>
        <v>672466.61491199851</v>
      </c>
      <c r="U59" s="63">
        <f t="shared" si="35"/>
        <v>672466.61491199851</v>
      </c>
      <c r="V59" s="63">
        <f t="shared" si="35"/>
        <v>672466.61491199851</v>
      </c>
      <c r="W59" s="63">
        <f t="shared" si="35"/>
        <v>672466.61491199851</v>
      </c>
      <c r="X59" s="63">
        <f t="shared" si="35"/>
        <v>672466.61491199851</v>
      </c>
      <c r="Y59" s="63">
        <f t="shared" si="35"/>
        <v>672466.61491199851</v>
      </c>
      <c r="Z59" s="63">
        <f t="shared" si="35"/>
        <v>672466.61491199851</v>
      </c>
      <c r="AA59" s="63">
        <f t="shared" si="35"/>
        <v>672466.61491199851</v>
      </c>
      <c r="AB59" s="63">
        <f t="shared" si="35"/>
        <v>672466.61491199851</v>
      </c>
      <c r="AC59" s="63">
        <f t="shared" si="35"/>
        <v>672466.61491199851</v>
      </c>
      <c r="AD59" s="63">
        <f t="shared" si="35"/>
        <v>672466.61491199851</v>
      </c>
      <c r="AE59" s="63">
        <f t="shared" si="35"/>
        <v>672466.61491199851</v>
      </c>
      <c r="AF59" s="63">
        <f t="shared" si="35"/>
        <v>672466.61491199851</v>
      </c>
      <c r="AG59" s="63">
        <f t="shared" si="35"/>
        <v>672466.61491199851</v>
      </c>
      <c r="AH59" s="63">
        <f t="shared" si="35"/>
        <v>672466.61491199851</v>
      </c>
      <c r="AI59" s="63">
        <f t="shared" si="35"/>
        <v>672466.61491199851</v>
      </c>
      <c r="AJ59" s="63">
        <f t="shared" si="35"/>
        <v>672466.61491199851</v>
      </c>
      <c r="AK59" s="63">
        <f t="shared" si="35"/>
        <v>672466.61491199851</v>
      </c>
      <c r="AL59" s="63">
        <f t="shared" si="35"/>
        <v>672466.61491199851</v>
      </c>
      <c r="AM59" s="63">
        <f t="shared" si="35"/>
        <v>672466.61491199851</v>
      </c>
      <c r="AN59" s="63">
        <f t="shared" si="35"/>
        <v>672466.61491199851</v>
      </c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  <c r="BF59" s="48"/>
      <c r="BG59" s="48"/>
      <c r="BH59" s="48"/>
      <c r="BI59" s="48"/>
      <c r="BJ59" s="48"/>
      <c r="BK59" s="48"/>
      <c r="BL59" s="48"/>
      <c r="BM59" s="48"/>
      <c r="BN59" s="48"/>
      <c r="BO59" s="48"/>
      <c r="BP59" s="48"/>
      <c r="BQ59" s="48"/>
      <c r="BR59" s="48"/>
      <c r="BS59" s="48"/>
      <c r="BT59" s="48"/>
      <c r="BU59" s="48"/>
      <c r="BV59" s="48"/>
      <c r="BW59" s="48"/>
      <c r="BX59" s="48"/>
      <c r="BY59" s="48"/>
      <c r="BZ59" s="48"/>
      <c r="CA59" s="48"/>
      <c r="CB59" s="48"/>
      <c r="CC59" s="48"/>
      <c r="CD59" s="48"/>
      <c r="CE59" s="48"/>
      <c r="CF59" s="48"/>
      <c r="CG59" s="48"/>
      <c r="CH59" s="48"/>
      <c r="CI59" s="48"/>
      <c r="CJ59" s="48"/>
      <c r="CK59" s="48"/>
      <c r="CL59" s="48"/>
      <c r="CM59" s="48"/>
      <c r="CN59" s="48"/>
      <c r="CO59" s="48"/>
      <c r="CP59" s="48"/>
      <c r="CQ59" s="48"/>
      <c r="CR59" s="48"/>
      <c r="CS59" s="48"/>
      <c r="CT59" s="48"/>
      <c r="CU59" s="48"/>
      <c r="CV59" s="48"/>
      <c r="CW59" s="48"/>
      <c r="CX59" s="48"/>
      <c r="CY59" s="48"/>
      <c r="CZ59" s="64"/>
      <c r="DA59" s="64"/>
      <c r="DB59" s="64"/>
      <c r="DC59" s="64"/>
      <c r="DD59" s="64"/>
      <c r="DE59" s="64"/>
      <c r="DF59" s="64"/>
      <c r="DG59" s="64"/>
      <c r="DH59" s="64"/>
      <c r="DI59" s="64"/>
      <c r="DJ59" s="64"/>
      <c r="DK59" s="64"/>
      <c r="DL59" s="64"/>
      <c r="DM59" s="64"/>
      <c r="DN59" s="64"/>
      <c r="DO59" s="64"/>
      <c r="DP59" s="64"/>
      <c r="DQ59" s="64"/>
      <c r="DR59" s="64"/>
      <c r="DS59" s="64"/>
      <c r="DT59" s="64"/>
      <c r="DU59" s="64"/>
      <c r="DV59" s="64"/>
      <c r="DW59" s="64"/>
      <c r="DX59" s="64"/>
      <c r="DY59" s="64"/>
      <c r="DZ59" s="64"/>
      <c r="EA59" s="64"/>
      <c r="EB59" s="64"/>
      <c r="EC59" s="64"/>
      <c r="ED59" s="64"/>
      <c r="EE59" s="64"/>
      <c r="EF59" s="64"/>
      <c r="EG59" s="64"/>
      <c r="EH59" s="64"/>
      <c r="EI59" s="64"/>
      <c r="EJ59" s="64"/>
      <c r="EK59" s="64"/>
      <c r="EL59" s="64"/>
      <c r="EM59" s="64"/>
      <c r="EN59" s="64"/>
      <c r="EO59" s="64"/>
      <c r="EP59" s="64"/>
      <c r="EQ59" s="64"/>
      <c r="ER59" s="64"/>
      <c r="ES59" s="64"/>
      <c r="ET59" s="64"/>
      <c r="EU59" s="64"/>
      <c r="EV59" s="64"/>
      <c r="EW59" s="64"/>
      <c r="EX59" s="64"/>
      <c r="EY59" s="64"/>
      <c r="EZ59" s="64"/>
      <c r="FA59" s="64"/>
      <c r="FB59" s="64"/>
      <c r="FC59" s="64"/>
      <c r="FD59" s="64"/>
      <c r="FE59" s="64"/>
      <c r="FF59" s="64"/>
      <c r="FG59" s="64"/>
      <c r="FH59" s="64"/>
      <c r="FI59" s="64"/>
      <c r="FJ59" s="64"/>
      <c r="FK59" s="64"/>
      <c r="FL59" s="64"/>
      <c r="FM59" s="64"/>
      <c r="FN59" s="64"/>
    </row>
    <row r="60" spans="1:170" x14ac:dyDescent="0.3"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  <c r="BF60" s="48"/>
      <c r="BG60" s="48"/>
      <c r="BH60" s="48"/>
      <c r="BI60" s="48"/>
      <c r="BJ60" s="48"/>
      <c r="BK60" s="48"/>
      <c r="BL60" s="48"/>
      <c r="BM60" s="48"/>
      <c r="BN60" s="48"/>
      <c r="BO60" s="48"/>
      <c r="BP60" s="48"/>
      <c r="BQ60" s="48"/>
      <c r="BR60" s="48"/>
      <c r="BS60" s="48"/>
      <c r="BT60" s="48"/>
      <c r="BU60" s="48"/>
      <c r="BV60" s="48"/>
      <c r="BW60" s="48"/>
      <c r="BX60" s="48"/>
      <c r="BY60" s="48"/>
      <c r="BZ60" s="48"/>
      <c r="CA60" s="48"/>
      <c r="CB60" s="48"/>
      <c r="CC60" s="48"/>
      <c r="CD60" s="48"/>
      <c r="CE60" s="48"/>
      <c r="CF60" s="48"/>
      <c r="CG60" s="48"/>
      <c r="CH60" s="48"/>
      <c r="CI60" s="48"/>
      <c r="CJ60" s="48"/>
      <c r="CK60" s="48"/>
      <c r="CL60" s="48"/>
      <c r="CM60" s="48"/>
      <c r="CN60" s="48"/>
      <c r="CO60" s="48"/>
      <c r="CP60" s="48"/>
      <c r="CQ60" s="48"/>
      <c r="CR60" s="48"/>
      <c r="CS60" s="48"/>
      <c r="CT60" s="48"/>
      <c r="CU60" s="48"/>
      <c r="CV60" s="48"/>
      <c r="CW60" s="48"/>
      <c r="CX60" s="48"/>
      <c r="CY60" s="48"/>
    </row>
    <row r="61" spans="1:170" x14ac:dyDescent="0.3"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  <c r="BF61" s="48"/>
      <c r="BG61" s="48"/>
      <c r="BH61" s="48"/>
      <c r="BI61" s="48"/>
      <c r="BJ61" s="48"/>
      <c r="BK61" s="48"/>
      <c r="BL61" s="48"/>
      <c r="BM61" s="48"/>
      <c r="BN61" s="48"/>
      <c r="BO61" s="48"/>
      <c r="BP61" s="48"/>
      <c r="BQ61" s="48"/>
      <c r="BR61" s="48"/>
      <c r="BS61" s="48"/>
      <c r="BT61" s="48"/>
      <c r="BU61" s="48"/>
      <c r="BV61" s="48"/>
      <c r="BW61" s="48"/>
      <c r="BX61" s="48"/>
      <c r="BY61" s="48"/>
      <c r="BZ61" s="48"/>
      <c r="CA61" s="48"/>
      <c r="CB61" s="48"/>
      <c r="CC61" s="48"/>
      <c r="CD61" s="48"/>
      <c r="CE61" s="48"/>
      <c r="CF61" s="48"/>
      <c r="CG61" s="48"/>
      <c r="CH61" s="48"/>
      <c r="CI61" s="48"/>
      <c r="CJ61" s="48"/>
      <c r="CK61" s="48"/>
      <c r="CL61" s="48"/>
      <c r="CM61" s="48"/>
      <c r="CN61" s="48"/>
      <c r="CO61" s="48"/>
      <c r="CP61" s="48"/>
      <c r="CQ61" s="48"/>
      <c r="CR61" s="48"/>
      <c r="CS61" s="48"/>
      <c r="CT61" s="48"/>
      <c r="CU61" s="48"/>
      <c r="CV61" s="48"/>
      <c r="CW61" s="48"/>
      <c r="CX61" s="48"/>
      <c r="CY61" s="48"/>
    </row>
  </sheetData>
  <mergeCells count="13">
    <mergeCell ref="A30:B30"/>
    <mergeCell ref="A34:B34"/>
    <mergeCell ref="A10:B10"/>
    <mergeCell ref="A11:B11"/>
    <mergeCell ref="A12:B12"/>
    <mergeCell ref="A13:B13"/>
    <mergeCell ref="A26:B26"/>
    <mergeCell ref="A9:B9"/>
    <mergeCell ref="B1:F3"/>
    <mergeCell ref="G1:AN3"/>
    <mergeCell ref="A4:E4"/>
    <mergeCell ref="A6:C6"/>
    <mergeCell ref="A8:B8"/>
  </mergeCells>
  <pageMargins left="0.25" right="0.25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N59"/>
  <sheetViews>
    <sheetView zoomScale="50" zoomScaleNormal="50" workbookViewId="0">
      <pane ySplit="5" topLeftCell="A27" activePane="bottomLeft" state="frozen"/>
      <selection pane="bottomLeft" activeCell="M40" sqref="M40"/>
    </sheetView>
  </sheetViews>
  <sheetFormatPr defaultColWidth="8.7265625" defaultRowHeight="14" x14ac:dyDescent="0.3"/>
  <cols>
    <col min="1" max="1" width="19.81640625" style="1" customWidth="1"/>
    <col min="2" max="2" width="11" style="1" customWidth="1"/>
    <col min="3" max="4" width="8.7265625" style="1"/>
    <col min="5" max="40" width="12.54296875" style="1" customWidth="1"/>
    <col min="41" max="16384" width="8.7265625" style="1"/>
  </cols>
  <sheetData>
    <row r="1" spans="1:170" customFormat="1" ht="28.5" customHeight="1" x14ac:dyDescent="0.35">
      <c r="A1" s="91"/>
      <c r="B1" s="326" t="s">
        <v>72</v>
      </c>
      <c r="C1" s="326"/>
      <c r="D1" s="326"/>
      <c r="E1" s="326"/>
      <c r="F1" s="326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  <c r="AB1" s="327"/>
      <c r="AC1" s="327"/>
      <c r="AD1" s="327"/>
      <c r="AE1" s="327"/>
      <c r="AF1" s="327"/>
      <c r="AG1" s="327"/>
      <c r="AH1" s="327"/>
      <c r="AI1" s="327"/>
      <c r="AJ1" s="327"/>
      <c r="AK1" s="327"/>
      <c r="AL1" s="327"/>
      <c r="AM1" s="327"/>
      <c r="AN1" s="327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</row>
    <row r="2" spans="1:170" customFormat="1" ht="14.5" customHeight="1" x14ac:dyDescent="0.35">
      <c r="A2" s="92"/>
      <c r="B2" s="326"/>
      <c r="C2" s="326"/>
      <c r="D2" s="326"/>
      <c r="E2" s="326"/>
      <c r="F2" s="326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7"/>
      <c r="R2" s="327"/>
      <c r="S2" s="327"/>
      <c r="T2" s="327"/>
      <c r="U2" s="327"/>
      <c r="V2" s="327"/>
      <c r="W2" s="327"/>
      <c r="X2" s="327"/>
      <c r="Y2" s="327"/>
      <c r="Z2" s="327"/>
      <c r="AA2" s="327"/>
      <c r="AB2" s="327"/>
      <c r="AC2" s="327"/>
      <c r="AD2" s="327"/>
      <c r="AE2" s="327"/>
      <c r="AF2" s="327"/>
      <c r="AG2" s="327"/>
      <c r="AH2" s="327"/>
      <c r="AI2" s="327"/>
      <c r="AJ2" s="327"/>
      <c r="AK2" s="327"/>
      <c r="AL2" s="327"/>
      <c r="AM2" s="327"/>
      <c r="AN2" s="327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</row>
    <row r="3" spans="1:170" ht="9" customHeight="1" x14ac:dyDescent="0.3">
      <c r="B3" s="326"/>
      <c r="C3" s="326"/>
      <c r="D3" s="326"/>
      <c r="E3" s="326"/>
      <c r="F3" s="326"/>
      <c r="G3" s="327"/>
      <c r="H3" s="327"/>
      <c r="I3" s="327"/>
      <c r="J3" s="327"/>
      <c r="K3" s="327"/>
      <c r="L3" s="327"/>
      <c r="M3" s="327"/>
      <c r="N3" s="327"/>
      <c r="O3" s="327"/>
      <c r="P3" s="327"/>
      <c r="Q3" s="327"/>
      <c r="R3" s="327"/>
      <c r="S3" s="327"/>
      <c r="T3" s="327"/>
      <c r="U3" s="327"/>
      <c r="V3" s="327"/>
      <c r="W3" s="327"/>
      <c r="X3" s="327"/>
      <c r="Y3" s="327"/>
      <c r="Z3" s="327"/>
      <c r="AA3" s="327"/>
      <c r="AB3" s="327"/>
      <c r="AC3" s="327"/>
      <c r="AD3" s="327"/>
      <c r="AE3" s="327"/>
      <c r="AF3" s="327"/>
      <c r="AG3" s="327"/>
      <c r="AH3" s="327"/>
      <c r="AI3" s="327"/>
      <c r="AJ3" s="327"/>
      <c r="AK3" s="327"/>
      <c r="AL3" s="327"/>
      <c r="AM3" s="327"/>
      <c r="AN3" s="327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</row>
    <row r="4" spans="1:170" ht="28" customHeight="1" x14ac:dyDescent="0.3">
      <c r="A4" s="308" t="s">
        <v>138</v>
      </c>
      <c r="B4" s="308"/>
      <c r="C4" s="308"/>
      <c r="D4" s="308"/>
      <c r="E4" s="308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</row>
    <row r="5" spans="1:170" s="5" customFormat="1" ht="18" customHeight="1" x14ac:dyDescent="0.3">
      <c r="E5" s="6">
        <v>2015</v>
      </c>
      <c r="F5" s="6">
        <v>2016</v>
      </c>
      <c r="G5" s="6">
        <v>2017</v>
      </c>
      <c r="H5" s="6">
        <v>2018</v>
      </c>
      <c r="I5" s="6">
        <v>2019</v>
      </c>
      <c r="J5" s="6">
        <v>2020</v>
      </c>
      <c r="K5" s="6">
        <v>2021</v>
      </c>
      <c r="L5" s="7">
        <v>2022</v>
      </c>
      <c r="M5" s="7">
        <v>2023</v>
      </c>
      <c r="N5" s="7">
        <v>2024</v>
      </c>
      <c r="O5" s="7">
        <v>2025</v>
      </c>
      <c r="P5" s="7">
        <v>2026</v>
      </c>
      <c r="Q5" s="7">
        <v>2027</v>
      </c>
      <c r="R5" s="7">
        <v>2028</v>
      </c>
      <c r="S5" s="7">
        <v>2029</v>
      </c>
      <c r="T5" s="7">
        <v>2030</v>
      </c>
      <c r="U5" s="7">
        <v>2031</v>
      </c>
      <c r="V5" s="7">
        <v>2032</v>
      </c>
      <c r="W5" s="7">
        <v>2033</v>
      </c>
      <c r="X5" s="7">
        <v>2034</v>
      </c>
      <c r="Y5" s="7">
        <v>2035</v>
      </c>
      <c r="Z5" s="7">
        <v>2036</v>
      </c>
      <c r="AA5" s="7">
        <v>2037</v>
      </c>
      <c r="AB5" s="7">
        <v>2038</v>
      </c>
      <c r="AC5" s="7">
        <v>2039</v>
      </c>
      <c r="AD5" s="7">
        <v>2040</v>
      </c>
      <c r="AE5" s="7">
        <v>2041</v>
      </c>
      <c r="AF5" s="7">
        <v>2042</v>
      </c>
      <c r="AG5" s="7">
        <v>2043</v>
      </c>
      <c r="AH5" s="7">
        <v>2044</v>
      </c>
      <c r="AI5" s="7">
        <v>2045</v>
      </c>
      <c r="AJ5" s="7">
        <v>2046</v>
      </c>
      <c r="AK5" s="7">
        <v>2047</v>
      </c>
      <c r="AL5" s="7">
        <v>2048</v>
      </c>
      <c r="AM5" s="7">
        <v>2049</v>
      </c>
      <c r="AN5" s="7">
        <v>2050</v>
      </c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</row>
    <row r="6" spans="1:170" s="9" customFormat="1" x14ac:dyDescent="0.3">
      <c r="A6" s="328" t="s">
        <v>1</v>
      </c>
      <c r="B6" s="328"/>
      <c r="C6" s="328"/>
      <c r="E6" s="10">
        <f>SUM(E8:E12)</f>
        <v>39157554</v>
      </c>
      <c r="F6" s="10">
        <f t="shared" ref="F6:K6" si="0">SUM(F8:F11)</f>
        <v>41941403</v>
      </c>
      <c r="G6" s="10">
        <f t="shared" si="0"/>
        <v>42466224</v>
      </c>
      <c r="H6" s="10">
        <f t="shared" si="0"/>
        <v>44102478</v>
      </c>
      <c r="I6" s="10">
        <f t="shared" si="0"/>
        <v>49404755</v>
      </c>
      <c r="J6" s="10">
        <f t="shared" si="0"/>
        <v>49794066</v>
      </c>
      <c r="K6" s="10">
        <f t="shared" si="0"/>
        <v>56267720</v>
      </c>
      <c r="L6" s="10">
        <f>'Status quo'!L6</f>
        <v>58136151</v>
      </c>
      <c r="M6" s="10">
        <f>'Status quo'!M6</f>
        <v>78186291</v>
      </c>
      <c r="N6" s="10">
        <f>M6*1.01</f>
        <v>78968153.909999996</v>
      </c>
      <c r="O6" s="10">
        <f>N6*1.01</f>
        <v>79757835.449100003</v>
      </c>
      <c r="P6" s="10">
        <f>O6*1.01</f>
        <v>80555413.803590998</v>
      </c>
      <c r="Q6" s="10">
        <f>P6</f>
        <v>80555413.803590998</v>
      </c>
      <c r="R6" s="10">
        <f t="shared" ref="R6:AN6" si="1">Q6</f>
        <v>80555413.803590998</v>
      </c>
      <c r="S6" s="10">
        <f t="shared" si="1"/>
        <v>80555413.803590998</v>
      </c>
      <c r="T6" s="10">
        <f t="shared" si="1"/>
        <v>80555413.803590998</v>
      </c>
      <c r="U6" s="10">
        <f t="shared" si="1"/>
        <v>80555413.803590998</v>
      </c>
      <c r="V6" s="10">
        <f t="shared" si="1"/>
        <v>80555413.803590998</v>
      </c>
      <c r="W6" s="10">
        <f t="shared" si="1"/>
        <v>80555413.803590998</v>
      </c>
      <c r="X6" s="10">
        <f t="shared" si="1"/>
        <v>80555413.803590998</v>
      </c>
      <c r="Y6" s="10">
        <f t="shared" si="1"/>
        <v>80555413.803590998</v>
      </c>
      <c r="Z6" s="10">
        <f t="shared" si="1"/>
        <v>80555413.803590998</v>
      </c>
      <c r="AA6" s="10">
        <f t="shared" si="1"/>
        <v>80555413.803590998</v>
      </c>
      <c r="AB6" s="10">
        <f t="shared" si="1"/>
        <v>80555413.803590998</v>
      </c>
      <c r="AC6" s="10">
        <f t="shared" si="1"/>
        <v>80555413.803590998</v>
      </c>
      <c r="AD6" s="10">
        <f t="shared" si="1"/>
        <v>80555413.803590998</v>
      </c>
      <c r="AE6" s="10">
        <f t="shared" si="1"/>
        <v>80555413.803590998</v>
      </c>
      <c r="AF6" s="10">
        <f t="shared" si="1"/>
        <v>80555413.803590998</v>
      </c>
      <c r="AG6" s="10">
        <f t="shared" si="1"/>
        <v>80555413.803590998</v>
      </c>
      <c r="AH6" s="10">
        <f t="shared" si="1"/>
        <v>80555413.803590998</v>
      </c>
      <c r="AI6" s="10">
        <f t="shared" si="1"/>
        <v>80555413.803590998</v>
      </c>
      <c r="AJ6" s="10">
        <f t="shared" si="1"/>
        <v>80555413.803590998</v>
      </c>
      <c r="AK6" s="10">
        <f t="shared" si="1"/>
        <v>80555413.803590998</v>
      </c>
      <c r="AL6" s="10">
        <f t="shared" si="1"/>
        <v>80555413.803590998</v>
      </c>
      <c r="AM6" s="10">
        <f t="shared" si="1"/>
        <v>80555413.803590998</v>
      </c>
      <c r="AN6" s="10">
        <f t="shared" si="1"/>
        <v>80555413.803590998</v>
      </c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</row>
    <row r="7" spans="1:170" s="3" customFormat="1" x14ac:dyDescent="0.3">
      <c r="A7" s="11" t="s">
        <v>2</v>
      </c>
      <c r="B7" s="12"/>
      <c r="C7" s="13"/>
      <c r="D7" s="13"/>
      <c r="E7" s="14" t="s">
        <v>3</v>
      </c>
      <c r="F7" s="15">
        <f>(F6-E6)/E6</f>
        <v>7.1093536639188437E-2</v>
      </c>
      <c r="G7" s="15">
        <f t="shared" ref="G7:AN7" si="2">(G6-F6)/F6</f>
        <v>1.2513196089315372E-2</v>
      </c>
      <c r="H7" s="15">
        <f t="shared" si="2"/>
        <v>3.8530715610599141E-2</v>
      </c>
      <c r="I7" s="15">
        <f t="shared" si="2"/>
        <v>0.12022628297666177</v>
      </c>
      <c r="J7" s="16">
        <f t="shared" si="2"/>
        <v>7.8800309808236078E-3</v>
      </c>
      <c r="K7" s="16">
        <f t="shared" si="2"/>
        <v>0.1300085435883063</v>
      </c>
      <c r="L7" s="16">
        <f t="shared" si="2"/>
        <v>3.3206090454704761E-2</v>
      </c>
      <c r="M7" s="16">
        <f t="shared" si="2"/>
        <v>0.3448824811260725</v>
      </c>
      <c r="N7" s="16">
        <f t="shared" si="2"/>
        <v>9.9999999999999551E-3</v>
      </c>
      <c r="O7" s="16">
        <f t="shared" si="2"/>
        <v>1.000000000000008E-2</v>
      </c>
      <c r="P7" s="16">
        <f t="shared" si="2"/>
        <v>9.9999999999999412E-3</v>
      </c>
      <c r="Q7" s="16">
        <f t="shared" si="2"/>
        <v>0</v>
      </c>
      <c r="R7" s="16">
        <f t="shared" si="2"/>
        <v>0</v>
      </c>
      <c r="S7" s="16">
        <f t="shared" si="2"/>
        <v>0</v>
      </c>
      <c r="T7" s="16">
        <f t="shared" si="2"/>
        <v>0</v>
      </c>
      <c r="U7" s="16">
        <f t="shared" si="2"/>
        <v>0</v>
      </c>
      <c r="V7" s="16">
        <f t="shared" si="2"/>
        <v>0</v>
      </c>
      <c r="W7" s="16">
        <f t="shared" si="2"/>
        <v>0</v>
      </c>
      <c r="X7" s="16">
        <f t="shared" si="2"/>
        <v>0</v>
      </c>
      <c r="Y7" s="16">
        <f t="shared" si="2"/>
        <v>0</v>
      </c>
      <c r="Z7" s="16">
        <f t="shared" si="2"/>
        <v>0</v>
      </c>
      <c r="AA7" s="16">
        <f t="shared" si="2"/>
        <v>0</v>
      </c>
      <c r="AB7" s="16">
        <f t="shared" si="2"/>
        <v>0</v>
      </c>
      <c r="AC7" s="16">
        <f t="shared" si="2"/>
        <v>0</v>
      </c>
      <c r="AD7" s="16">
        <f t="shared" si="2"/>
        <v>0</v>
      </c>
      <c r="AE7" s="16">
        <f t="shared" si="2"/>
        <v>0</v>
      </c>
      <c r="AF7" s="16">
        <f t="shared" si="2"/>
        <v>0</v>
      </c>
      <c r="AG7" s="16">
        <f t="shared" si="2"/>
        <v>0</v>
      </c>
      <c r="AH7" s="16">
        <f t="shared" si="2"/>
        <v>0</v>
      </c>
      <c r="AI7" s="16">
        <f t="shared" si="2"/>
        <v>0</v>
      </c>
      <c r="AJ7" s="16">
        <f t="shared" si="2"/>
        <v>0</v>
      </c>
      <c r="AK7" s="16">
        <f t="shared" si="2"/>
        <v>0</v>
      </c>
      <c r="AL7" s="16">
        <f t="shared" si="2"/>
        <v>0</v>
      </c>
      <c r="AM7" s="16">
        <f t="shared" si="2"/>
        <v>0</v>
      </c>
      <c r="AN7" s="16">
        <f t="shared" si="2"/>
        <v>0</v>
      </c>
    </row>
    <row r="8" spans="1:170" x14ac:dyDescent="0.3">
      <c r="A8" s="325" t="s">
        <v>4</v>
      </c>
      <c r="B8" s="325"/>
      <c r="E8" s="17">
        <v>33037860</v>
      </c>
      <c r="F8" s="17">
        <v>35783211</v>
      </c>
      <c r="G8" s="17">
        <v>36327585</v>
      </c>
      <c r="H8" s="17">
        <v>37614826</v>
      </c>
      <c r="I8" s="17">
        <v>42569582</v>
      </c>
      <c r="J8" s="17">
        <v>42751792</v>
      </c>
      <c r="K8" s="17">
        <v>45856155</v>
      </c>
      <c r="L8" s="17">
        <f t="shared" ref="L8:AN8" si="3">L6*0.89</f>
        <v>51741174.390000001</v>
      </c>
      <c r="M8" s="17">
        <f t="shared" si="3"/>
        <v>69585798.989999995</v>
      </c>
      <c r="N8" s="17">
        <f t="shared" si="3"/>
        <v>70281656.979900002</v>
      </c>
      <c r="O8" s="17">
        <f t="shared" si="3"/>
        <v>70984473.549699008</v>
      </c>
      <c r="P8" s="17">
        <f t="shared" si="3"/>
        <v>71694318.285195991</v>
      </c>
      <c r="Q8" s="17">
        <f t="shared" si="3"/>
        <v>71694318.285195991</v>
      </c>
      <c r="R8" s="17">
        <f t="shared" si="3"/>
        <v>71694318.285195991</v>
      </c>
      <c r="S8" s="17">
        <f t="shared" si="3"/>
        <v>71694318.285195991</v>
      </c>
      <c r="T8" s="17">
        <f t="shared" si="3"/>
        <v>71694318.285195991</v>
      </c>
      <c r="U8" s="17">
        <f t="shared" si="3"/>
        <v>71694318.285195991</v>
      </c>
      <c r="V8" s="17">
        <f t="shared" si="3"/>
        <v>71694318.285195991</v>
      </c>
      <c r="W8" s="17">
        <f t="shared" si="3"/>
        <v>71694318.285195991</v>
      </c>
      <c r="X8" s="17">
        <f t="shared" si="3"/>
        <v>71694318.285195991</v>
      </c>
      <c r="Y8" s="17">
        <f t="shared" si="3"/>
        <v>71694318.285195991</v>
      </c>
      <c r="Z8" s="17">
        <f t="shared" si="3"/>
        <v>71694318.285195991</v>
      </c>
      <c r="AA8" s="17">
        <f t="shared" si="3"/>
        <v>71694318.285195991</v>
      </c>
      <c r="AB8" s="17">
        <f t="shared" si="3"/>
        <v>71694318.285195991</v>
      </c>
      <c r="AC8" s="17">
        <f t="shared" si="3"/>
        <v>71694318.285195991</v>
      </c>
      <c r="AD8" s="17">
        <f t="shared" si="3"/>
        <v>71694318.285195991</v>
      </c>
      <c r="AE8" s="17">
        <f t="shared" si="3"/>
        <v>71694318.285195991</v>
      </c>
      <c r="AF8" s="17">
        <f t="shared" si="3"/>
        <v>71694318.285195991</v>
      </c>
      <c r="AG8" s="17">
        <f t="shared" si="3"/>
        <v>71694318.285195991</v>
      </c>
      <c r="AH8" s="17">
        <f t="shared" si="3"/>
        <v>71694318.285195991</v>
      </c>
      <c r="AI8" s="17">
        <f t="shared" si="3"/>
        <v>71694318.285195991</v>
      </c>
      <c r="AJ8" s="17">
        <f t="shared" si="3"/>
        <v>71694318.285195991</v>
      </c>
      <c r="AK8" s="17">
        <f t="shared" si="3"/>
        <v>71694318.285195991</v>
      </c>
      <c r="AL8" s="17">
        <f t="shared" si="3"/>
        <v>71694318.285195991</v>
      </c>
      <c r="AM8" s="17">
        <f t="shared" si="3"/>
        <v>71694318.285195991</v>
      </c>
      <c r="AN8" s="17">
        <f t="shared" si="3"/>
        <v>71694318.285195991</v>
      </c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</row>
    <row r="9" spans="1:170" x14ac:dyDescent="0.3">
      <c r="A9" s="325" t="s">
        <v>5</v>
      </c>
      <c r="B9" s="325"/>
      <c r="E9" s="17">
        <v>2096322</v>
      </c>
      <c r="F9" s="17">
        <v>1990707</v>
      </c>
      <c r="G9" s="17">
        <v>1962281</v>
      </c>
      <c r="H9" s="17">
        <v>1948708</v>
      </c>
      <c r="I9" s="17">
        <v>2058071</v>
      </c>
      <c r="J9" s="17">
        <v>1797673</v>
      </c>
      <c r="K9" s="17">
        <v>2198318</v>
      </c>
      <c r="L9" s="17">
        <f t="shared" ref="L9:AN9" si="4">L6*0.03</f>
        <v>1744084.53</v>
      </c>
      <c r="M9" s="17">
        <f t="shared" si="4"/>
        <v>2345588.73</v>
      </c>
      <c r="N9" s="17">
        <f t="shared" si="4"/>
        <v>2369044.6172999996</v>
      </c>
      <c r="O9" s="17">
        <f t="shared" si="4"/>
        <v>2392735.0634730002</v>
      </c>
      <c r="P9" s="17">
        <f t="shared" si="4"/>
        <v>2416662.4141077297</v>
      </c>
      <c r="Q9" s="17">
        <f t="shared" si="4"/>
        <v>2416662.4141077297</v>
      </c>
      <c r="R9" s="17">
        <f t="shared" si="4"/>
        <v>2416662.4141077297</v>
      </c>
      <c r="S9" s="17">
        <f t="shared" si="4"/>
        <v>2416662.4141077297</v>
      </c>
      <c r="T9" s="17">
        <f t="shared" si="4"/>
        <v>2416662.4141077297</v>
      </c>
      <c r="U9" s="17">
        <f t="shared" si="4"/>
        <v>2416662.4141077297</v>
      </c>
      <c r="V9" s="17">
        <f t="shared" si="4"/>
        <v>2416662.4141077297</v>
      </c>
      <c r="W9" s="17">
        <f t="shared" si="4"/>
        <v>2416662.4141077297</v>
      </c>
      <c r="X9" s="17">
        <f t="shared" si="4"/>
        <v>2416662.4141077297</v>
      </c>
      <c r="Y9" s="17">
        <f t="shared" si="4"/>
        <v>2416662.4141077297</v>
      </c>
      <c r="Z9" s="17">
        <f t="shared" si="4"/>
        <v>2416662.4141077297</v>
      </c>
      <c r="AA9" s="17">
        <f t="shared" si="4"/>
        <v>2416662.4141077297</v>
      </c>
      <c r="AB9" s="17">
        <f t="shared" si="4"/>
        <v>2416662.4141077297</v>
      </c>
      <c r="AC9" s="17">
        <f t="shared" si="4"/>
        <v>2416662.4141077297</v>
      </c>
      <c r="AD9" s="17">
        <f t="shared" si="4"/>
        <v>2416662.4141077297</v>
      </c>
      <c r="AE9" s="17">
        <f t="shared" si="4"/>
        <v>2416662.4141077297</v>
      </c>
      <c r="AF9" s="17">
        <f t="shared" si="4"/>
        <v>2416662.4141077297</v>
      </c>
      <c r="AG9" s="17">
        <f t="shared" si="4"/>
        <v>2416662.4141077297</v>
      </c>
      <c r="AH9" s="17">
        <f t="shared" si="4"/>
        <v>2416662.4141077297</v>
      </c>
      <c r="AI9" s="17">
        <f t="shared" si="4"/>
        <v>2416662.4141077297</v>
      </c>
      <c r="AJ9" s="17">
        <f t="shared" si="4"/>
        <v>2416662.4141077297</v>
      </c>
      <c r="AK9" s="17">
        <f t="shared" si="4"/>
        <v>2416662.4141077297</v>
      </c>
      <c r="AL9" s="17">
        <f t="shared" si="4"/>
        <v>2416662.4141077297</v>
      </c>
      <c r="AM9" s="17">
        <f t="shared" si="4"/>
        <v>2416662.4141077297</v>
      </c>
      <c r="AN9" s="17">
        <f t="shared" si="4"/>
        <v>2416662.4141077297</v>
      </c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</row>
    <row r="10" spans="1:170" x14ac:dyDescent="0.3">
      <c r="A10" s="325" t="s">
        <v>6</v>
      </c>
      <c r="B10" s="325"/>
      <c r="E10" s="17">
        <v>2856111</v>
      </c>
      <c r="F10" s="17">
        <v>3023353</v>
      </c>
      <c r="G10" s="17">
        <v>3049219</v>
      </c>
      <c r="H10" s="17">
        <v>3389111</v>
      </c>
      <c r="I10" s="17">
        <v>3607793</v>
      </c>
      <c r="J10" s="17">
        <v>3134620</v>
      </c>
      <c r="K10" s="17">
        <v>3385507</v>
      </c>
      <c r="L10" s="17">
        <f t="shared" ref="L10:AN10" si="5">L6*0.05</f>
        <v>2906807.5500000003</v>
      </c>
      <c r="M10" s="17">
        <f t="shared" si="5"/>
        <v>3909314.5500000003</v>
      </c>
      <c r="N10" s="17">
        <f t="shared" si="5"/>
        <v>3948407.6954999999</v>
      </c>
      <c r="O10" s="17">
        <f t="shared" si="5"/>
        <v>3987891.7724550003</v>
      </c>
      <c r="P10" s="17">
        <f t="shared" si="5"/>
        <v>4027770.6901795501</v>
      </c>
      <c r="Q10" s="17">
        <f t="shared" si="5"/>
        <v>4027770.6901795501</v>
      </c>
      <c r="R10" s="17">
        <f t="shared" si="5"/>
        <v>4027770.6901795501</v>
      </c>
      <c r="S10" s="17">
        <f t="shared" si="5"/>
        <v>4027770.6901795501</v>
      </c>
      <c r="T10" s="17">
        <f t="shared" si="5"/>
        <v>4027770.6901795501</v>
      </c>
      <c r="U10" s="17">
        <f t="shared" si="5"/>
        <v>4027770.6901795501</v>
      </c>
      <c r="V10" s="17">
        <f t="shared" si="5"/>
        <v>4027770.6901795501</v>
      </c>
      <c r="W10" s="17">
        <f t="shared" si="5"/>
        <v>4027770.6901795501</v>
      </c>
      <c r="X10" s="17">
        <f t="shared" si="5"/>
        <v>4027770.6901795501</v>
      </c>
      <c r="Y10" s="17">
        <f t="shared" si="5"/>
        <v>4027770.6901795501</v>
      </c>
      <c r="Z10" s="17">
        <f t="shared" si="5"/>
        <v>4027770.6901795501</v>
      </c>
      <c r="AA10" s="17">
        <f t="shared" si="5"/>
        <v>4027770.6901795501</v>
      </c>
      <c r="AB10" s="17">
        <f t="shared" si="5"/>
        <v>4027770.6901795501</v>
      </c>
      <c r="AC10" s="17">
        <f t="shared" si="5"/>
        <v>4027770.6901795501</v>
      </c>
      <c r="AD10" s="17">
        <f t="shared" si="5"/>
        <v>4027770.6901795501</v>
      </c>
      <c r="AE10" s="17">
        <f t="shared" si="5"/>
        <v>4027770.6901795501</v>
      </c>
      <c r="AF10" s="17">
        <f t="shared" si="5"/>
        <v>4027770.6901795501</v>
      </c>
      <c r="AG10" s="17">
        <f t="shared" si="5"/>
        <v>4027770.6901795501</v>
      </c>
      <c r="AH10" s="17">
        <f t="shared" si="5"/>
        <v>4027770.6901795501</v>
      </c>
      <c r="AI10" s="17">
        <f t="shared" si="5"/>
        <v>4027770.6901795501</v>
      </c>
      <c r="AJ10" s="17">
        <f t="shared" si="5"/>
        <v>4027770.6901795501</v>
      </c>
      <c r="AK10" s="17">
        <f t="shared" si="5"/>
        <v>4027770.6901795501</v>
      </c>
      <c r="AL10" s="17">
        <f t="shared" si="5"/>
        <v>4027770.6901795501</v>
      </c>
      <c r="AM10" s="17">
        <f t="shared" si="5"/>
        <v>4027770.6901795501</v>
      </c>
      <c r="AN10" s="17">
        <f t="shared" si="5"/>
        <v>4027770.6901795501</v>
      </c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</row>
    <row r="11" spans="1:170" x14ac:dyDescent="0.3">
      <c r="A11" s="325" t="s">
        <v>7</v>
      </c>
      <c r="B11" s="325"/>
      <c r="E11" s="17">
        <v>1167261</v>
      </c>
      <c r="F11" s="17">
        <v>1144132</v>
      </c>
      <c r="G11" s="17">
        <v>1127139</v>
      </c>
      <c r="H11" s="17">
        <v>1149833</v>
      </c>
      <c r="I11" s="17">
        <v>1169309</v>
      </c>
      <c r="J11" s="17">
        <v>2109981</v>
      </c>
      <c r="K11" s="17">
        <v>4827740</v>
      </c>
      <c r="L11" s="17">
        <f t="shared" ref="L11:AN11" si="6">L6*0.03</f>
        <v>1744084.53</v>
      </c>
      <c r="M11" s="17">
        <f t="shared" si="6"/>
        <v>2345588.73</v>
      </c>
      <c r="N11" s="17">
        <f t="shared" si="6"/>
        <v>2369044.6172999996</v>
      </c>
      <c r="O11" s="17">
        <f t="shared" si="6"/>
        <v>2392735.0634730002</v>
      </c>
      <c r="P11" s="17">
        <f t="shared" si="6"/>
        <v>2416662.4141077297</v>
      </c>
      <c r="Q11" s="17">
        <f t="shared" si="6"/>
        <v>2416662.4141077297</v>
      </c>
      <c r="R11" s="17">
        <f t="shared" si="6"/>
        <v>2416662.4141077297</v>
      </c>
      <c r="S11" s="17">
        <f t="shared" si="6"/>
        <v>2416662.4141077297</v>
      </c>
      <c r="T11" s="17">
        <f t="shared" si="6"/>
        <v>2416662.4141077297</v>
      </c>
      <c r="U11" s="17">
        <f t="shared" si="6"/>
        <v>2416662.4141077297</v>
      </c>
      <c r="V11" s="17">
        <f t="shared" si="6"/>
        <v>2416662.4141077297</v>
      </c>
      <c r="W11" s="17">
        <f t="shared" si="6"/>
        <v>2416662.4141077297</v>
      </c>
      <c r="X11" s="17">
        <f t="shared" si="6"/>
        <v>2416662.4141077297</v>
      </c>
      <c r="Y11" s="17">
        <f t="shared" si="6"/>
        <v>2416662.4141077297</v>
      </c>
      <c r="Z11" s="17">
        <f t="shared" si="6"/>
        <v>2416662.4141077297</v>
      </c>
      <c r="AA11" s="17">
        <f t="shared" si="6"/>
        <v>2416662.4141077297</v>
      </c>
      <c r="AB11" s="17">
        <f t="shared" si="6"/>
        <v>2416662.4141077297</v>
      </c>
      <c r="AC11" s="17">
        <f t="shared" si="6"/>
        <v>2416662.4141077297</v>
      </c>
      <c r="AD11" s="17">
        <f t="shared" si="6"/>
        <v>2416662.4141077297</v>
      </c>
      <c r="AE11" s="17">
        <f t="shared" si="6"/>
        <v>2416662.4141077297</v>
      </c>
      <c r="AF11" s="17">
        <f t="shared" si="6"/>
        <v>2416662.4141077297</v>
      </c>
      <c r="AG11" s="17">
        <f t="shared" si="6"/>
        <v>2416662.4141077297</v>
      </c>
      <c r="AH11" s="17">
        <f t="shared" si="6"/>
        <v>2416662.4141077297</v>
      </c>
      <c r="AI11" s="17">
        <f t="shared" si="6"/>
        <v>2416662.4141077297</v>
      </c>
      <c r="AJ11" s="17">
        <f t="shared" si="6"/>
        <v>2416662.4141077297</v>
      </c>
      <c r="AK11" s="17">
        <f t="shared" si="6"/>
        <v>2416662.4141077297</v>
      </c>
      <c r="AL11" s="17">
        <f t="shared" si="6"/>
        <v>2416662.4141077297</v>
      </c>
      <c r="AM11" s="17">
        <f t="shared" si="6"/>
        <v>2416662.4141077297</v>
      </c>
      <c r="AN11" s="17">
        <f t="shared" si="6"/>
        <v>2416662.4141077297</v>
      </c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</row>
    <row r="12" spans="1:170" x14ac:dyDescent="0.3">
      <c r="A12" s="327"/>
      <c r="B12" s="327"/>
      <c r="E12" s="17"/>
      <c r="F12" s="17"/>
      <c r="G12" s="17"/>
      <c r="H12" s="17"/>
      <c r="I12" s="17"/>
      <c r="J12" s="17"/>
      <c r="K12" s="17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</row>
    <row r="13" spans="1:170" s="9" customFormat="1" x14ac:dyDescent="0.3">
      <c r="A13" s="328" t="s">
        <v>8</v>
      </c>
      <c r="B13" s="328"/>
      <c r="E13" s="10">
        <f t="shared" ref="E13:J13" si="7">E14+E18+E22+E26+E30+E34</f>
        <v>34697318</v>
      </c>
      <c r="F13" s="10">
        <f t="shared" si="7"/>
        <v>38523506</v>
      </c>
      <c r="G13" s="10">
        <f t="shared" si="7"/>
        <v>39251629</v>
      </c>
      <c r="H13" s="10">
        <f t="shared" si="7"/>
        <v>40981146</v>
      </c>
      <c r="I13" s="10">
        <f t="shared" si="7"/>
        <v>46733173</v>
      </c>
      <c r="J13" s="10">
        <f t="shared" si="7"/>
        <v>47203579</v>
      </c>
      <c r="K13" s="10">
        <f t="shared" ref="K13:AN13" si="8">K14++K18+K22+K26+K30+K34</f>
        <v>53726491.740000002</v>
      </c>
      <c r="L13" s="10">
        <f>'Status quo'!L13</f>
        <v>55800627</v>
      </c>
      <c r="M13" s="10">
        <f t="shared" si="8"/>
        <v>75616970.862399995</v>
      </c>
      <c r="N13" s="10">
        <f t="shared" si="8"/>
        <v>77619098.100447997</v>
      </c>
      <c r="O13" s="10">
        <f t="shared" si="8"/>
        <v>78698135.874856964</v>
      </c>
      <c r="P13" s="10">
        <f t="shared" si="8"/>
        <v>80791813.162532091</v>
      </c>
      <c r="Q13" s="10">
        <f t="shared" si="8"/>
        <v>80791813.162532091</v>
      </c>
      <c r="R13" s="10">
        <f t="shared" si="8"/>
        <v>80791813.162532091</v>
      </c>
      <c r="S13" s="10">
        <f t="shared" si="8"/>
        <v>80791813.162532091</v>
      </c>
      <c r="T13" s="10">
        <f t="shared" si="8"/>
        <v>80791813.162532091</v>
      </c>
      <c r="U13" s="10">
        <f t="shared" si="8"/>
        <v>80791813.162532091</v>
      </c>
      <c r="V13" s="10">
        <f t="shared" si="8"/>
        <v>80791813.162532091</v>
      </c>
      <c r="W13" s="10">
        <f t="shared" si="8"/>
        <v>80791813.162532091</v>
      </c>
      <c r="X13" s="10">
        <f t="shared" si="8"/>
        <v>80791813.162532091</v>
      </c>
      <c r="Y13" s="10">
        <f t="shared" si="8"/>
        <v>80791813.162532091</v>
      </c>
      <c r="Z13" s="10">
        <f t="shared" si="8"/>
        <v>80791813.162532091</v>
      </c>
      <c r="AA13" s="10">
        <f t="shared" si="8"/>
        <v>80791813.162532091</v>
      </c>
      <c r="AB13" s="10">
        <f t="shared" si="8"/>
        <v>80791813.162532091</v>
      </c>
      <c r="AC13" s="10">
        <f t="shared" si="8"/>
        <v>80791813.162532091</v>
      </c>
      <c r="AD13" s="10">
        <f t="shared" si="8"/>
        <v>80791813.162532091</v>
      </c>
      <c r="AE13" s="10">
        <f t="shared" si="8"/>
        <v>80791813.162532091</v>
      </c>
      <c r="AF13" s="10">
        <f t="shared" si="8"/>
        <v>80791813.162532091</v>
      </c>
      <c r="AG13" s="10">
        <f t="shared" si="8"/>
        <v>80791813.162532091</v>
      </c>
      <c r="AH13" s="10">
        <f t="shared" si="8"/>
        <v>80791813.162532091</v>
      </c>
      <c r="AI13" s="10">
        <f t="shared" si="8"/>
        <v>80791813.162532091</v>
      </c>
      <c r="AJ13" s="10">
        <f t="shared" si="8"/>
        <v>80791813.162532091</v>
      </c>
      <c r="AK13" s="10">
        <f t="shared" si="8"/>
        <v>80791813.162532091</v>
      </c>
      <c r="AL13" s="10">
        <f t="shared" si="8"/>
        <v>80791813.162532091</v>
      </c>
      <c r="AM13" s="10">
        <f t="shared" si="8"/>
        <v>80791813.162532091</v>
      </c>
      <c r="AN13" s="10">
        <f t="shared" si="8"/>
        <v>80791813.162532091</v>
      </c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</row>
    <row r="14" spans="1:170" x14ac:dyDescent="0.3">
      <c r="A14" s="1" t="s">
        <v>9</v>
      </c>
      <c r="E14" s="17">
        <v>8235933</v>
      </c>
      <c r="F14" s="17">
        <v>9569309</v>
      </c>
      <c r="G14" s="17">
        <v>9869394</v>
      </c>
      <c r="H14" s="17">
        <v>9515445</v>
      </c>
      <c r="I14" s="17">
        <v>10618026</v>
      </c>
      <c r="J14" s="17">
        <v>8684693</v>
      </c>
      <c r="K14" s="17">
        <v>10973194</v>
      </c>
      <c r="L14" s="17">
        <f>'Výpočty-náklady'!L14</f>
        <v>9330994.7920000013</v>
      </c>
      <c r="M14" s="17">
        <f>'Výpočty-náklady'!M75</f>
        <v>13980306.9024</v>
      </c>
      <c r="N14" s="17">
        <f>'Výpočty-náklady'!N75</f>
        <v>14259913.040448003</v>
      </c>
      <c r="O14" s="17">
        <f>'Výpočty-náklady'!O75</f>
        <v>14545111.301256964</v>
      </c>
      <c r="P14" s="17">
        <f>'Výpočty-náklady'!P75</f>
        <v>14836013.527282102</v>
      </c>
      <c r="Q14" s="17">
        <f>'Výpočty-náklady'!Q75</f>
        <v>14836013.527282102</v>
      </c>
      <c r="R14" s="17">
        <f>'Výpočty-náklady'!R75</f>
        <v>14836013.527282102</v>
      </c>
      <c r="S14" s="17">
        <f>'Výpočty-náklady'!S75</f>
        <v>14836013.527282102</v>
      </c>
      <c r="T14" s="17">
        <f>'Výpočty-náklady'!T75</f>
        <v>14836013.527282102</v>
      </c>
      <c r="U14" s="17">
        <f>'Výpočty-náklady'!U75</f>
        <v>14836013.527282102</v>
      </c>
      <c r="V14" s="17">
        <f>'Výpočty-náklady'!V75</f>
        <v>14836013.527282102</v>
      </c>
      <c r="W14" s="17">
        <f>'Výpočty-náklady'!W75</f>
        <v>14836013.527282102</v>
      </c>
      <c r="X14" s="17">
        <f>'Výpočty-náklady'!X75</f>
        <v>14836013.527282102</v>
      </c>
      <c r="Y14" s="17">
        <f>'Výpočty-náklady'!Y75</f>
        <v>14836013.527282102</v>
      </c>
      <c r="Z14" s="17">
        <f>'Výpočty-náklady'!Z75</f>
        <v>14836013.527282102</v>
      </c>
      <c r="AA14" s="17">
        <f>'Výpočty-náklady'!AA75</f>
        <v>14836013.527282102</v>
      </c>
      <c r="AB14" s="17">
        <f>'Výpočty-náklady'!AB75</f>
        <v>14836013.527282102</v>
      </c>
      <c r="AC14" s="17">
        <f>'Výpočty-náklady'!AC75</f>
        <v>14836013.527282102</v>
      </c>
      <c r="AD14" s="17">
        <f>'Výpočty-náklady'!AD75</f>
        <v>14836013.527282102</v>
      </c>
      <c r="AE14" s="17">
        <f>'Výpočty-náklady'!AE75</f>
        <v>14836013.527282102</v>
      </c>
      <c r="AF14" s="17">
        <f>'Výpočty-náklady'!AF75</f>
        <v>14836013.527282102</v>
      </c>
      <c r="AG14" s="17">
        <f>'Výpočty-náklady'!AG75</f>
        <v>14836013.527282102</v>
      </c>
      <c r="AH14" s="17">
        <f>'Výpočty-náklady'!AH75</f>
        <v>14836013.527282102</v>
      </c>
      <c r="AI14" s="17">
        <f>'Výpočty-náklady'!AI75</f>
        <v>14836013.527282102</v>
      </c>
      <c r="AJ14" s="17">
        <f>'Výpočty-náklady'!AJ75</f>
        <v>14836013.527282102</v>
      </c>
      <c r="AK14" s="17">
        <f>'Výpočty-náklady'!AK75</f>
        <v>14836013.527282102</v>
      </c>
      <c r="AL14" s="17">
        <f>'Výpočty-náklady'!AL75</f>
        <v>14836013.527282102</v>
      </c>
      <c r="AM14" s="17">
        <f>'Výpočty-náklady'!AM75</f>
        <v>14836013.527282102</v>
      </c>
      <c r="AN14" s="17">
        <f>'Výpočty-náklady'!AN75</f>
        <v>14836013.527282102</v>
      </c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</row>
    <row r="15" spans="1:170" x14ac:dyDescent="0.3">
      <c r="A15" s="19" t="s">
        <v>10</v>
      </c>
      <c r="B15" s="19"/>
      <c r="C15" s="20"/>
      <c r="E15" s="21">
        <f t="shared" ref="E15:AN15" si="9">E14/E13</f>
        <v>0.23736511853740397</v>
      </c>
      <c r="F15" s="21">
        <f t="shared" si="9"/>
        <v>0.2484018199174291</v>
      </c>
      <c r="G15" s="21">
        <f t="shared" si="9"/>
        <v>0.25143909313929363</v>
      </c>
      <c r="H15" s="21">
        <f t="shared" si="9"/>
        <v>0.23219079817826471</v>
      </c>
      <c r="I15" s="21">
        <f t="shared" si="9"/>
        <v>0.22720533014096861</v>
      </c>
      <c r="J15" s="21">
        <f t="shared" si="9"/>
        <v>0.18398378224668091</v>
      </c>
      <c r="K15" s="21">
        <f t="shared" si="9"/>
        <v>0.20424177430201215</v>
      </c>
      <c r="L15" s="21">
        <f t="shared" si="9"/>
        <v>0.16722024990866144</v>
      </c>
      <c r="M15" s="21">
        <f t="shared" si="9"/>
        <v>0.18488319147086607</v>
      </c>
      <c r="N15" s="21">
        <f t="shared" si="9"/>
        <v>0.18371655158881184</v>
      </c>
      <c r="O15" s="21">
        <f t="shared" si="9"/>
        <v>0.18482154805275303</v>
      </c>
      <c r="P15" s="21">
        <f t="shared" si="9"/>
        <v>0.18363263487398043</v>
      </c>
      <c r="Q15" s="21">
        <f t="shared" si="9"/>
        <v>0.18363263487398043</v>
      </c>
      <c r="R15" s="21">
        <f t="shared" si="9"/>
        <v>0.18363263487398043</v>
      </c>
      <c r="S15" s="21">
        <f t="shared" si="9"/>
        <v>0.18363263487398043</v>
      </c>
      <c r="T15" s="21">
        <f t="shared" si="9"/>
        <v>0.18363263487398043</v>
      </c>
      <c r="U15" s="21">
        <f t="shared" si="9"/>
        <v>0.18363263487398043</v>
      </c>
      <c r="V15" s="21">
        <f t="shared" si="9"/>
        <v>0.18363263487398043</v>
      </c>
      <c r="W15" s="21">
        <f t="shared" si="9"/>
        <v>0.18363263487398043</v>
      </c>
      <c r="X15" s="21">
        <f t="shared" si="9"/>
        <v>0.18363263487398043</v>
      </c>
      <c r="Y15" s="21">
        <f t="shared" si="9"/>
        <v>0.18363263487398043</v>
      </c>
      <c r="Z15" s="21">
        <f t="shared" si="9"/>
        <v>0.18363263487398043</v>
      </c>
      <c r="AA15" s="21">
        <f t="shared" si="9"/>
        <v>0.18363263487398043</v>
      </c>
      <c r="AB15" s="21">
        <f t="shared" si="9"/>
        <v>0.18363263487398043</v>
      </c>
      <c r="AC15" s="21">
        <f t="shared" si="9"/>
        <v>0.18363263487398043</v>
      </c>
      <c r="AD15" s="21">
        <f t="shared" si="9"/>
        <v>0.18363263487398043</v>
      </c>
      <c r="AE15" s="21">
        <f t="shared" si="9"/>
        <v>0.18363263487398043</v>
      </c>
      <c r="AF15" s="21">
        <f t="shared" si="9"/>
        <v>0.18363263487398043</v>
      </c>
      <c r="AG15" s="21">
        <f t="shared" si="9"/>
        <v>0.18363263487398043</v>
      </c>
      <c r="AH15" s="21">
        <f t="shared" si="9"/>
        <v>0.18363263487398043</v>
      </c>
      <c r="AI15" s="21">
        <f t="shared" si="9"/>
        <v>0.18363263487398043</v>
      </c>
      <c r="AJ15" s="21">
        <f t="shared" si="9"/>
        <v>0.18363263487398043</v>
      </c>
      <c r="AK15" s="21">
        <f t="shared" si="9"/>
        <v>0.18363263487398043</v>
      </c>
      <c r="AL15" s="21">
        <f t="shared" si="9"/>
        <v>0.18363263487398043</v>
      </c>
      <c r="AM15" s="21">
        <f t="shared" si="9"/>
        <v>0.18363263487398043</v>
      </c>
      <c r="AN15" s="21">
        <f t="shared" si="9"/>
        <v>0.18363263487398043</v>
      </c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</row>
    <row r="16" spans="1:170" x14ac:dyDescent="0.3">
      <c r="A16" s="19" t="s">
        <v>64</v>
      </c>
      <c r="B16" s="19"/>
      <c r="C16" s="20"/>
      <c r="E16" s="80" t="s">
        <v>3</v>
      </c>
      <c r="F16" s="15">
        <f>(F14-E14)/E14</f>
        <v>0.16189738308944476</v>
      </c>
      <c r="G16" s="15">
        <f t="shared" ref="G16:AN16" si="10">(G14-F14)/F14</f>
        <v>3.1359108583493334E-2</v>
      </c>
      <c r="H16" s="15">
        <f t="shared" si="10"/>
        <v>-3.5863296165904411E-2</v>
      </c>
      <c r="I16" s="15">
        <f t="shared" si="10"/>
        <v>0.11587277315984697</v>
      </c>
      <c r="J16" s="15">
        <f t="shared" si="10"/>
        <v>-0.1820802661436316</v>
      </c>
      <c r="K16" s="15">
        <f t="shared" si="10"/>
        <v>0.26350971761465836</v>
      </c>
      <c r="L16" s="15">
        <f t="shared" si="10"/>
        <v>-0.14965553402227269</v>
      </c>
      <c r="M16" s="15">
        <f t="shared" si="10"/>
        <v>0.49826542764616283</v>
      </c>
      <c r="N16" s="15">
        <f t="shared" si="10"/>
        <v>2.0000000000000177E-2</v>
      </c>
      <c r="O16" s="15">
        <f t="shared" si="10"/>
        <v>2.0000000000000098E-2</v>
      </c>
      <c r="P16" s="15">
        <f t="shared" si="10"/>
        <v>1.9999999999999917E-2</v>
      </c>
      <c r="Q16" s="15">
        <f t="shared" si="10"/>
        <v>0</v>
      </c>
      <c r="R16" s="15">
        <f t="shared" si="10"/>
        <v>0</v>
      </c>
      <c r="S16" s="15">
        <f t="shared" si="10"/>
        <v>0</v>
      </c>
      <c r="T16" s="15">
        <f t="shared" si="10"/>
        <v>0</v>
      </c>
      <c r="U16" s="15">
        <f t="shared" si="10"/>
        <v>0</v>
      </c>
      <c r="V16" s="15">
        <f t="shared" si="10"/>
        <v>0</v>
      </c>
      <c r="W16" s="15">
        <f t="shared" si="10"/>
        <v>0</v>
      </c>
      <c r="X16" s="15">
        <f t="shared" si="10"/>
        <v>0</v>
      </c>
      <c r="Y16" s="15">
        <f t="shared" si="10"/>
        <v>0</v>
      </c>
      <c r="Z16" s="15">
        <f t="shared" si="10"/>
        <v>0</v>
      </c>
      <c r="AA16" s="15">
        <f t="shared" si="10"/>
        <v>0</v>
      </c>
      <c r="AB16" s="15">
        <f t="shared" si="10"/>
        <v>0</v>
      </c>
      <c r="AC16" s="15">
        <f t="shared" si="10"/>
        <v>0</v>
      </c>
      <c r="AD16" s="15">
        <f t="shared" si="10"/>
        <v>0</v>
      </c>
      <c r="AE16" s="15">
        <f t="shared" si="10"/>
        <v>0</v>
      </c>
      <c r="AF16" s="15">
        <f t="shared" si="10"/>
        <v>0</v>
      </c>
      <c r="AG16" s="15">
        <f t="shared" si="10"/>
        <v>0</v>
      </c>
      <c r="AH16" s="15">
        <f t="shared" si="10"/>
        <v>0</v>
      </c>
      <c r="AI16" s="15">
        <f t="shared" si="10"/>
        <v>0</v>
      </c>
      <c r="AJ16" s="15">
        <f t="shared" si="10"/>
        <v>0</v>
      </c>
      <c r="AK16" s="15">
        <f t="shared" si="10"/>
        <v>0</v>
      </c>
      <c r="AL16" s="15">
        <f t="shared" si="10"/>
        <v>0</v>
      </c>
      <c r="AM16" s="15">
        <f t="shared" si="10"/>
        <v>0</v>
      </c>
      <c r="AN16" s="15">
        <f t="shared" si="10"/>
        <v>0</v>
      </c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</row>
    <row r="17" spans="1:170" x14ac:dyDescent="0.3">
      <c r="A17" s="23"/>
      <c r="B17" s="24"/>
      <c r="E17" s="30"/>
      <c r="F17" s="30"/>
      <c r="G17" s="30"/>
      <c r="H17" s="31"/>
      <c r="I17" s="32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</row>
    <row r="18" spans="1:170" x14ac:dyDescent="0.3">
      <c r="A18" s="1" t="s">
        <v>20</v>
      </c>
      <c r="E18" s="17">
        <v>894342</v>
      </c>
      <c r="F18" s="17">
        <v>826176</v>
      </c>
      <c r="G18" s="17">
        <v>789479</v>
      </c>
      <c r="H18" s="17">
        <v>829632</v>
      </c>
      <c r="I18" s="17">
        <v>990433</v>
      </c>
      <c r="J18" s="17">
        <v>908070</v>
      </c>
      <c r="K18" s="17">
        <v>938139</v>
      </c>
      <c r="L18" s="17">
        <f>'Výpočty-náklady'!L27</f>
        <v>2479749</v>
      </c>
      <c r="M18" s="17">
        <f>'Výpočty-náklady'!M88</f>
        <v>3550913</v>
      </c>
      <c r="N18" s="17">
        <f>'Výpočty-náklady'!N88</f>
        <v>3621931.2600000002</v>
      </c>
      <c r="O18" s="17">
        <f>'Výpočty-náklady'!O88</f>
        <v>2716448.4450000003</v>
      </c>
      <c r="P18" s="17">
        <f>'Výpočty-náklady'!P88</f>
        <v>2770777.4139000005</v>
      </c>
      <c r="Q18" s="17">
        <f>'Výpočty-náklady'!Q88</f>
        <v>2770777.4139000005</v>
      </c>
      <c r="R18" s="17">
        <f>'Výpočty-náklady'!R88</f>
        <v>2770777.4139000005</v>
      </c>
      <c r="S18" s="17">
        <f>'Výpočty-náklady'!S88</f>
        <v>2770777.4139000005</v>
      </c>
      <c r="T18" s="17">
        <f>'Výpočty-náklady'!T88</f>
        <v>2770777.4139000005</v>
      </c>
      <c r="U18" s="17">
        <f>'Výpočty-náklady'!U88</f>
        <v>2770777.4139000005</v>
      </c>
      <c r="V18" s="17">
        <f>'Výpočty-náklady'!V88</f>
        <v>2770777.4139000005</v>
      </c>
      <c r="W18" s="17">
        <f>'Výpočty-náklady'!W88</f>
        <v>2770777.4139000005</v>
      </c>
      <c r="X18" s="17">
        <f>'Výpočty-náklady'!X88</f>
        <v>2770777.4139000005</v>
      </c>
      <c r="Y18" s="17">
        <f>'Výpočty-náklady'!Y88</f>
        <v>2770777.4139000005</v>
      </c>
      <c r="Z18" s="17">
        <f>'Výpočty-náklady'!Z88</f>
        <v>2770777.4139000005</v>
      </c>
      <c r="AA18" s="17">
        <f>'Výpočty-náklady'!AA88</f>
        <v>2770777.4139000005</v>
      </c>
      <c r="AB18" s="17">
        <f>'Výpočty-náklady'!AB88</f>
        <v>2770777.4139000005</v>
      </c>
      <c r="AC18" s="17">
        <f>'Výpočty-náklady'!AC88</f>
        <v>2770777.4139000005</v>
      </c>
      <c r="AD18" s="17">
        <f>'Výpočty-náklady'!AD88</f>
        <v>2770777.4139000005</v>
      </c>
      <c r="AE18" s="17">
        <f>'Výpočty-náklady'!AE88</f>
        <v>2770777.4139000005</v>
      </c>
      <c r="AF18" s="17">
        <f>'Výpočty-náklady'!AF88</f>
        <v>2770777.4139000005</v>
      </c>
      <c r="AG18" s="17">
        <f>'Výpočty-náklady'!AG88</f>
        <v>2770777.4139000005</v>
      </c>
      <c r="AH18" s="17">
        <f>'Výpočty-náklady'!AH88</f>
        <v>2770777.4139000005</v>
      </c>
      <c r="AI18" s="17">
        <f>'Výpočty-náklady'!AI88</f>
        <v>2770777.4139000005</v>
      </c>
      <c r="AJ18" s="17">
        <f>'Výpočty-náklady'!AJ88</f>
        <v>2770777.4139000005</v>
      </c>
      <c r="AK18" s="17">
        <f>'Výpočty-náklady'!AK88</f>
        <v>2770777.4139000005</v>
      </c>
      <c r="AL18" s="17">
        <f>'Výpočty-náklady'!AL88</f>
        <v>2770777.4139000005</v>
      </c>
      <c r="AM18" s="17">
        <f>'Výpočty-náklady'!AM88</f>
        <v>2770777.4139000005</v>
      </c>
      <c r="AN18" s="17">
        <f>'Výpočty-náklady'!AN88</f>
        <v>2770777.4139000005</v>
      </c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</row>
    <row r="19" spans="1:170" x14ac:dyDescent="0.3">
      <c r="A19" s="19" t="s">
        <v>21</v>
      </c>
      <c r="B19" s="19"/>
      <c r="C19" s="19"/>
      <c r="E19" s="21">
        <f t="shared" ref="E19:AN19" si="11">E18/E13</f>
        <v>2.5775536887317919E-2</v>
      </c>
      <c r="F19" s="21">
        <f t="shared" si="11"/>
        <v>2.1446023111188272E-2</v>
      </c>
      <c r="G19" s="21">
        <f t="shared" si="11"/>
        <v>2.0113279884511288E-2</v>
      </c>
      <c r="H19" s="21">
        <f t="shared" si="11"/>
        <v>2.0244236215356204E-2</v>
      </c>
      <c r="I19" s="21">
        <f t="shared" si="11"/>
        <v>2.1193360870232374E-2</v>
      </c>
      <c r="J19" s="21">
        <f t="shared" si="11"/>
        <v>1.9237312492766702E-2</v>
      </c>
      <c r="K19" s="21">
        <f t="shared" si="11"/>
        <v>1.7461385800881253E-2</v>
      </c>
      <c r="L19" s="21">
        <f t="shared" si="11"/>
        <v>4.4439446890086019E-2</v>
      </c>
      <c r="M19" s="21">
        <f t="shared" si="11"/>
        <v>4.6959207166094856E-2</v>
      </c>
      <c r="N19" s="21">
        <f t="shared" si="11"/>
        <v>4.6662887725296767E-2</v>
      </c>
      <c r="O19" s="21">
        <f t="shared" si="11"/>
        <v>3.4517316259175465E-2</v>
      </c>
      <c r="P19" s="21">
        <f t="shared" si="11"/>
        <v>3.4295274551221146E-2</v>
      </c>
      <c r="Q19" s="21">
        <f t="shared" si="11"/>
        <v>3.4295274551221146E-2</v>
      </c>
      <c r="R19" s="21">
        <f t="shared" si="11"/>
        <v>3.4295274551221146E-2</v>
      </c>
      <c r="S19" s="21">
        <f t="shared" si="11"/>
        <v>3.4295274551221146E-2</v>
      </c>
      <c r="T19" s="21">
        <f t="shared" si="11"/>
        <v>3.4295274551221146E-2</v>
      </c>
      <c r="U19" s="21">
        <f t="shared" si="11"/>
        <v>3.4295274551221146E-2</v>
      </c>
      <c r="V19" s="21">
        <f t="shared" si="11"/>
        <v>3.4295274551221146E-2</v>
      </c>
      <c r="W19" s="21">
        <f t="shared" si="11"/>
        <v>3.4295274551221146E-2</v>
      </c>
      <c r="X19" s="21">
        <f t="shared" si="11"/>
        <v>3.4295274551221146E-2</v>
      </c>
      <c r="Y19" s="21">
        <f t="shared" si="11"/>
        <v>3.4295274551221146E-2</v>
      </c>
      <c r="Z19" s="21">
        <f t="shared" si="11"/>
        <v>3.4295274551221146E-2</v>
      </c>
      <c r="AA19" s="21">
        <f t="shared" si="11"/>
        <v>3.4295274551221146E-2</v>
      </c>
      <c r="AB19" s="21">
        <f t="shared" si="11"/>
        <v>3.4295274551221146E-2</v>
      </c>
      <c r="AC19" s="21">
        <f t="shared" si="11"/>
        <v>3.4295274551221146E-2</v>
      </c>
      <c r="AD19" s="21">
        <f t="shared" si="11"/>
        <v>3.4295274551221146E-2</v>
      </c>
      <c r="AE19" s="21">
        <f t="shared" si="11"/>
        <v>3.4295274551221146E-2</v>
      </c>
      <c r="AF19" s="21">
        <f t="shared" si="11"/>
        <v>3.4295274551221146E-2</v>
      </c>
      <c r="AG19" s="21">
        <f t="shared" si="11"/>
        <v>3.4295274551221146E-2</v>
      </c>
      <c r="AH19" s="21">
        <f t="shared" si="11"/>
        <v>3.4295274551221146E-2</v>
      </c>
      <c r="AI19" s="21">
        <f t="shared" si="11"/>
        <v>3.4295274551221146E-2</v>
      </c>
      <c r="AJ19" s="21">
        <f t="shared" si="11"/>
        <v>3.4295274551221146E-2</v>
      </c>
      <c r="AK19" s="21">
        <f t="shared" si="11"/>
        <v>3.4295274551221146E-2</v>
      </c>
      <c r="AL19" s="21">
        <f t="shared" si="11"/>
        <v>3.4295274551221146E-2</v>
      </c>
      <c r="AM19" s="21">
        <f t="shared" si="11"/>
        <v>3.4295274551221146E-2</v>
      </c>
      <c r="AN19" s="21">
        <f t="shared" si="11"/>
        <v>3.4295274551221146E-2</v>
      </c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</row>
    <row r="20" spans="1:170" x14ac:dyDescent="0.3">
      <c r="A20" s="19" t="s">
        <v>65</v>
      </c>
      <c r="E20" s="80" t="s">
        <v>3</v>
      </c>
      <c r="F20" s="15">
        <f>(F18-E18)/E18</f>
        <v>-7.6219164480702012E-2</v>
      </c>
      <c r="G20" s="15">
        <f t="shared" ref="G20:AN20" si="12">(G18-F18)/F18</f>
        <v>-4.4417896428848087E-2</v>
      </c>
      <c r="H20" s="15">
        <f t="shared" si="12"/>
        <v>5.0860124208496997E-2</v>
      </c>
      <c r="I20" s="15">
        <f t="shared" si="12"/>
        <v>0.19382208015119956</v>
      </c>
      <c r="J20" s="15">
        <f t="shared" si="12"/>
        <v>-8.3158578116843851E-2</v>
      </c>
      <c r="K20" s="15">
        <f t="shared" si="12"/>
        <v>3.3113085995573027E-2</v>
      </c>
      <c r="L20" s="15">
        <f t="shared" si="12"/>
        <v>1.6432639512908003</v>
      </c>
      <c r="M20" s="15">
        <f t="shared" si="12"/>
        <v>0.43196468674853783</v>
      </c>
      <c r="N20" s="15">
        <f t="shared" si="12"/>
        <v>2.000000000000007E-2</v>
      </c>
      <c r="O20" s="15">
        <f t="shared" si="12"/>
        <v>-0.24999999999999997</v>
      </c>
      <c r="P20" s="15">
        <f t="shared" si="12"/>
        <v>2.0000000000000077E-2</v>
      </c>
      <c r="Q20" s="15">
        <f t="shared" si="12"/>
        <v>0</v>
      </c>
      <c r="R20" s="15">
        <f t="shared" si="12"/>
        <v>0</v>
      </c>
      <c r="S20" s="15">
        <f t="shared" si="12"/>
        <v>0</v>
      </c>
      <c r="T20" s="15">
        <f t="shared" si="12"/>
        <v>0</v>
      </c>
      <c r="U20" s="15">
        <f t="shared" si="12"/>
        <v>0</v>
      </c>
      <c r="V20" s="15">
        <f t="shared" si="12"/>
        <v>0</v>
      </c>
      <c r="W20" s="15">
        <f t="shared" si="12"/>
        <v>0</v>
      </c>
      <c r="X20" s="15">
        <f t="shared" si="12"/>
        <v>0</v>
      </c>
      <c r="Y20" s="15">
        <f t="shared" si="12"/>
        <v>0</v>
      </c>
      <c r="Z20" s="15">
        <f t="shared" si="12"/>
        <v>0</v>
      </c>
      <c r="AA20" s="15">
        <f t="shared" si="12"/>
        <v>0</v>
      </c>
      <c r="AB20" s="15">
        <f t="shared" si="12"/>
        <v>0</v>
      </c>
      <c r="AC20" s="15">
        <f t="shared" si="12"/>
        <v>0</v>
      </c>
      <c r="AD20" s="15">
        <f t="shared" si="12"/>
        <v>0</v>
      </c>
      <c r="AE20" s="15">
        <f t="shared" si="12"/>
        <v>0</v>
      </c>
      <c r="AF20" s="15">
        <f t="shared" si="12"/>
        <v>0</v>
      </c>
      <c r="AG20" s="15">
        <f t="shared" si="12"/>
        <v>0</v>
      </c>
      <c r="AH20" s="15">
        <f t="shared" si="12"/>
        <v>0</v>
      </c>
      <c r="AI20" s="15">
        <f t="shared" si="12"/>
        <v>0</v>
      </c>
      <c r="AJ20" s="15">
        <f t="shared" si="12"/>
        <v>0</v>
      </c>
      <c r="AK20" s="15">
        <f t="shared" si="12"/>
        <v>0</v>
      </c>
      <c r="AL20" s="15">
        <f t="shared" si="12"/>
        <v>0</v>
      </c>
      <c r="AM20" s="15">
        <f t="shared" si="12"/>
        <v>0</v>
      </c>
      <c r="AN20" s="15">
        <f t="shared" si="12"/>
        <v>0</v>
      </c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</row>
    <row r="21" spans="1:170" x14ac:dyDescent="0.3">
      <c r="A21" s="19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</row>
    <row r="22" spans="1:170" x14ac:dyDescent="0.3">
      <c r="A22" s="1" t="s">
        <v>22</v>
      </c>
      <c r="E22" s="17">
        <v>19781518</v>
      </c>
      <c r="F22" s="17">
        <v>21640696</v>
      </c>
      <c r="G22" s="17">
        <v>22437470</v>
      </c>
      <c r="H22" s="17">
        <v>24024092</v>
      </c>
      <c r="I22" s="17">
        <v>28033807</v>
      </c>
      <c r="J22" s="17">
        <v>31130657</v>
      </c>
      <c r="K22" s="17">
        <v>34980945</v>
      </c>
      <c r="L22" s="17">
        <f>'Výpočty-náklady'!L30</f>
        <v>34814726</v>
      </c>
      <c r="M22" s="17">
        <f>'Výpočty-náklady'!M91</f>
        <v>48978777.960000001</v>
      </c>
      <c r="N22" s="17">
        <f>'Výpočty-náklady'!N91</f>
        <v>50448141.340000004</v>
      </c>
      <c r="O22" s="17">
        <f>'Výpočty-náklady'!O91</f>
        <v>51961585.580200002</v>
      </c>
      <c r="P22" s="17">
        <f>'Výpočty-náklady'!P91</f>
        <v>53520433.147606</v>
      </c>
      <c r="Q22" s="17">
        <f>'Výpočty-náklady'!Q91</f>
        <v>53520433.147606</v>
      </c>
      <c r="R22" s="17">
        <f>'Výpočty-náklady'!R91</f>
        <v>53520433.147606</v>
      </c>
      <c r="S22" s="17">
        <f>'Výpočty-náklady'!S91</f>
        <v>53520433.147606</v>
      </c>
      <c r="T22" s="17">
        <f>'Výpočty-náklady'!T91</f>
        <v>53520433.147606</v>
      </c>
      <c r="U22" s="17">
        <f>'Výpočty-náklady'!U91</f>
        <v>53520433.147606</v>
      </c>
      <c r="V22" s="17">
        <f>'Výpočty-náklady'!V91</f>
        <v>53520433.147606</v>
      </c>
      <c r="W22" s="17">
        <f>'Výpočty-náklady'!W91</f>
        <v>53520433.147606</v>
      </c>
      <c r="X22" s="17">
        <f>'Výpočty-náklady'!X91</f>
        <v>53520433.147606</v>
      </c>
      <c r="Y22" s="17">
        <f>'Výpočty-náklady'!Y91</f>
        <v>53520433.147606</v>
      </c>
      <c r="Z22" s="17">
        <f>'Výpočty-náklady'!Z91</f>
        <v>53520433.147606</v>
      </c>
      <c r="AA22" s="17">
        <f>'Výpočty-náklady'!AA91</f>
        <v>53520433.147606</v>
      </c>
      <c r="AB22" s="17">
        <f>'Výpočty-náklady'!AB91</f>
        <v>53520433.147606</v>
      </c>
      <c r="AC22" s="17">
        <f>'Výpočty-náklady'!AC91</f>
        <v>53520433.147606</v>
      </c>
      <c r="AD22" s="17">
        <f>'Výpočty-náklady'!AD91</f>
        <v>53520433.147606</v>
      </c>
      <c r="AE22" s="17">
        <f>'Výpočty-náklady'!AE91</f>
        <v>53520433.147606</v>
      </c>
      <c r="AF22" s="17">
        <f>'Výpočty-náklady'!AF91</f>
        <v>53520433.147606</v>
      </c>
      <c r="AG22" s="17">
        <f>'Výpočty-náklady'!AG91</f>
        <v>53520433.147606</v>
      </c>
      <c r="AH22" s="17">
        <f>'Výpočty-náklady'!AH91</f>
        <v>53520433.147606</v>
      </c>
      <c r="AI22" s="17">
        <f>'Výpočty-náklady'!AI91</f>
        <v>53520433.147606</v>
      </c>
      <c r="AJ22" s="17">
        <f>'Výpočty-náklady'!AJ91</f>
        <v>53520433.147606</v>
      </c>
      <c r="AK22" s="17">
        <f>'Výpočty-náklady'!AK91</f>
        <v>53520433.147606</v>
      </c>
      <c r="AL22" s="17">
        <f>'Výpočty-náklady'!AL91</f>
        <v>53520433.147606</v>
      </c>
      <c r="AM22" s="17">
        <f>'Výpočty-náklady'!AM91</f>
        <v>53520433.147606</v>
      </c>
      <c r="AN22" s="17">
        <f>'Výpočty-náklady'!AN91</f>
        <v>53520433.147606</v>
      </c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</row>
    <row r="23" spans="1:170" x14ac:dyDescent="0.3">
      <c r="A23" s="19" t="s">
        <v>23</v>
      </c>
      <c r="B23" s="19"/>
      <c r="C23" s="19"/>
      <c r="E23" s="21">
        <f t="shared" ref="E23:AN23" si="13">E22/E13</f>
        <v>0.57011662976371835</v>
      </c>
      <c r="F23" s="21">
        <f t="shared" si="13"/>
        <v>0.56175302424447038</v>
      </c>
      <c r="G23" s="21">
        <f t="shared" si="13"/>
        <v>0.57163156209389421</v>
      </c>
      <c r="H23" s="21">
        <f t="shared" si="13"/>
        <v>0.58622304022439975</v>
      </c>
      <c r="I23" s="21">
        <f t="shared" si="13"/>
        <v>0.59986954020862226</v>
      </c>
      <c r="J23" s="21">
        <f t="shared" si="13"/>
        <v>0.65949781053678158</v>
      </c>
      <c r="K23" s="21">
        <f t="shared" si="13"/>
        <v>0.65109304306121807</v>
      </c>
      <c r="L23" s="21">
        <f t="shared" si="13"/>
        <v>0.62391281015534106</v>
      </c>
      <c r="M23" s="21">
        <f t="shared" si="13"/>
        <v>0.64772203119755423</v>
      </c>
      <c r="N23" s="21">
        <f t="shared" si="13"/>
        <v>0.64994495651977735</v>
      </c>
      <c r="O23" s="21">
        <f t="shared" si="13"/>
        <v>0.66026450312403218</v>
      </c>
      <c r="P23" s="21">
        <f t="shared" si="13"/>
        <v>0.66244871915347192</v>
      </c>
      <c r="Q23" s="21">
        <f t="shared" si="13"/>
        <v>0.66244871915347192</v>
      </c>
      <c r="R23" s="21">
        <f t="shared" si="13"/>
        <v>0.66244871915347192</v>
      </c>
      <c r="S23" s="21">
        <f t="shared" si="13"/>
        <v>0.66244871915347192</v>
      </c>
      <c r="T23" s="21">
        <f t="shared" si="13"/>
        <v>0.66244871915347192</v>
      </c>
      <c r="U23" s="21">
        <f t="shared" si="13"/>
        <v>0.66244871915347192</v>
      </c>
      <c r="V23" s="21">
        <f t="shared" si="13"/>
        <v>0.66244871915347192</v>
      </c>
      <c r="W23" s="21">
        <f t="shared" si="13"/>
        <v>0.66244871915347192</v>
      </c>
      <c r="X23" s="21">
        <f t="shared" si="13"/>
        <v>0.66244871915347192</v>
      </c>
      <c r="Y23" s="21">
        <f t="shared" si="13"/>
        <v>0.66244871915347192</v>
      </c>
      <c r="Z23" s="21">
        <f t="shared" si="13"/>
        <v>0.66244871915347192</v>
      </c>
      <c r="AA23" s="21">
        <f t="shared" si="13"/>
        <v>0.66244871915347192</v>
      </c>
      <c r="AB23" s="21">
        <f t="shared" si="13"/>
        <v>0.66244871915347192</v>
      </c>
      <c r="AC23" s="21">
        <f t="shared" si="13"/>
        <v>0.66244871915347192</v>
      </c>
      <c r="AD23" s="21">
        <f t="shared" si="13"/>
        <v>0.66244871915347192</v>
      </c>
      <c r="AE23" s="21">
        <f t="shared" si="13"/>
        <v>0.66244871915347192</v>
      </c>
      <c r="AF23" s="21">
        <f t="shared" si="13"/>
        <v>0.66244871915347192</v>
      </c>
      <c r="AG23" s="21">
        <f t="shared" si="13"/>
        <v>0.66244871915347192</v>
      </c>
      <c r="AH23" s="21">
        <f t="shared" si="13"/>
        <v>0.66244871915347192</v>
      </c>
      <c r="AI23" s="21">
        <f t="shared" si="13"/>
        <v>0.66244871915347192</v>
      </c>
      <c r="AJ23" s="21">
        <f t="shared" si="13"/>
        <v>0.66244871915347192</v>
      </c>
      <c r="AK23" s="21">
        <f t="shared" si="13"/>
        <v>0.66244871915347192</v>
      </c>
      <c r="AL23" s="21">
        <f t="shared" si="13"/>
        <v>0.66244871915347192</v>
      </c>
      <c r="AM23" s="21">
        <f t="shared" si="13"/>
        <v>0.66244871915347192</v>
      </c>
      <c r="AN23" s="21">
        <f t="shared" si="13"/>
        <v>0.66244871915347192</v>
      </c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</row>
    <row r="24" spans="1:170" x14ac:dyDescent="0.3">
      <c r="A24" s="74" t="s">
        <v>66</v>
      </c>
      <c r="B24" s="73"/>
      <c r="E24" s="80" t="s">
        <v>3</v>
      </c>
      <c r="F24" s="15">
        <f>(F22-E22)/E22</f>
        <v>9.3985608182344749E-2</v>
      </c>
      <c r="G24" s="15">
        <f t="shared" ref="G24:AN24" si="14">(G22-F22)/F22</f>
        <v>3.6818316749147068E-2</v>
      </c>
      <c r="H24" s="15">
        <f t="shared" si="14"/>
        <v>7.0713052763970274E-2</v>
      </c>
      <c r="I24" s="15">
        <f t="shared" si="14"/>
        <v>0.16690391462037357</v>
      </c>
      <c r="J24" s="15">
        <f t="shared" si="14"/>
        <v>0.11046840694879578</v>
      </c>
      <c r="K24" s="15">
        <f t="shared" si="14"/>
        <v>0.12368155288209946</v>
      </c>
      <c r="L24" s="15">
        <f t="shared" si="14"/>
        <v>-4.751701247636392E-3</v>
      </c>
      <c r="M24" s="15">
        <f t="shared" si="14"/>
        <v>0.40684082821734691</v>
      </c>
      <c r="N24" s="15">
        <f t="shared" si="14"/>
        <v>3.0000000841180697E-2</v>
      </c>
      <c r="O24" s="15">
        <f t="shared" si="14"/>
        <v>2.9999999999999957E-2</v>
      </c>
      <c r="P24" s="15">
        <f t="shared" si="14"/>
        <v>2.9999999999999975E-2</v>
      </c>
      <c r="Q24" s="15">
        <f t="shared" si="14"/>
        <v>0</v>
      </c>
      <c r="R24" s="15">
        <f t="shared" si="14"/>
        <v>0</v>
      </c>
      <c r="S24" s="15">
        <f t="shared" si="14"/>
        <v>0</v>
      </c>
      <c r="T24" s="15">
        <f t="shared" si="14"/>
        <v>0</v>
      </c>
      <c r="U24" s="15">
        <f t="shared" si="14"/>
        <v>0</v>
      </c>
      <c r="V24" s="15">
        <f t="shared" si="14"/>
        <v>0</v>
      </c>
      <c r="W24" s="15">
        <f t="shared" si="14"/>
        <v>0</v>
      </c>
      <c r="X24" s="15">
        <f t="shared" si="14"/>
        <v>0</v>
      </c>
      <c r="Y24" s="15">
        <f t="shared" si="14"/>
        <v>0</v>
      </c>
      <c r="Z24" s="15">
        <f t="shared" si="14"/>
        <v>0</v>
      </c>
      <c r="AA24" s="15">
        <f t="shared" si="14"/>
        <v>0</v>
      </c>
      <c r="AB24" s="15">
        <f t="shared" si="14"/>
        <v>0</v>
      </c>
      <c r="AC24" s="15">
        <f t="shared" si="14"/>
        <v>0</v>
      </c>
      <c r="AD24" s="15">
        <f t="shared" si="14"/>
        <v>0</v>
      </c>
      <c r="AE24" s="15">
        <f t="shared" si="14"/>
        <v>0</v>
      </c>
      <c r="AF24" s="15">
        <f t="shared" si="14"/>
        <v>0</v>
      </c>
      <c r="AG24" s="15">
        <f t="shared" si="14"/>
        <v>0</v>
      </c>
      <c r="AH24" s="15">
        <f t="shared" si="14"/>
        <v>0</v>
      </c>
      <c r="AI24" s="15">
        <f t="shared" si="14"/>
        <v>0</v>
      </c>
      <c r="AJ24" s="15">
        <f t="shared" si="14"/>
        <v>0</v>
      </c>
      <c r="AK24" s="15">
        <f t="shared" si="14"/>
        <v>0</v>
      </c>
      <c r="AL24" s="15">
        <f t="shared" si="14"/>
        <v>0</v>
      </c>
      <c r="AM24" s="15">
        <f t="shared" si="14"/>
        <v>0</v>
      </c>
      <c r="AN24" s="15">
        <f t="shared" si="14"/>
        <v>0</v>
      </c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</row>
    <row r="25" spans="1:170" x14ac:dyDescent="0.3"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</row>
    <row r="26" spans="1:170" x14ac:dyDescent="0.3">
      <c r="A26" s="325" t="s">
        <v>29</v>
      </c>
      <c r="B26" s="325"/>
      <c r="E26" s="17">
        <v>829368</v>
      </c>
      <c r="F26" s="17">
        <v>1102040</v>
      </c>
      <c r="G26" s="17">
        <v>672641</v>
      </c>
      <c r="H26" s="17">
        <v>814391</v>
      </c>
      <c r="I26" s="17">
        <v>797112</v>
      </c>
      <c r="J26" s="17">
        <v>695583</v>
      </c>
      <c r="K26" s="17">
        <v>784814</v>
      </c>
      <c r="L26" s="17">
        <f>'Výpočty-náklady'!L39</f>
        <v>834152</v>
      </c>
      <c r="M26" s="17">
        <f>'Výpočty-náklady'!M100</f>
        <v>959280</v>
      </c>
      <c r="N26" s="17">
        <f>'Výpočty-náklady'!N100</f>
        <v>978465.6</v>
      </c>
      <c r="O26" s="17">
        <f>'Výpočty-náklady'!O100</f>
        <v>998034.91200000001</v>
      </c>
      <c r="P26" s="17">
        <f>'Výpočty-náklady'!P100</f>
        <v>1017995.6102400001</v>
      </c>
      <c r="Q26" s="17">
        <f>'Výpočty-náklady'!Q100</f>
        <v>1017995.6102400001</v>
      </c>
      <c r="R26" s="17">
        <f>'Výpočty-náklady'!R100</f>
        <v>1017995.6102400001</v>
      </c>
      <c r="S26" s="17">
        <f>'Výpočty-náklady'!S100</f>
        <v>1017995.6102400001</v>
      </c>
      <c r="T26" s="17">
        <f>'Výpočty-náklady'!T100</f>
        <v>1017995.6102400001</v>
      </c>
      <c r="U26" s="17">
        <f>'Výpočty-náklady'!U100</f>
        <v>1017995.6102400001</v>
      </c>
      <c r="V26" s="17">
        <f>'Výpočty-náklady'!V100</f>
        <v>1017995.6102400001</v>
      </c>
      <c r="W26" s="17">
        <f>'Výpočty-náklady'!W100</f>
        <v>1017995.6102400001</v>
      </c>
      <c r="X26" s="17">
        <f>'Výpočty-náklady'!X100</f>
        <v>1017995.6102400001</v>
      </c>
      <c r="Y26" s="17">
        <f>'Výpočty-náklady'!Y100</f>
        <v>1017995.6102400001</v>
      </c>
      <c r="Z26" s="17">
        <f>'Výpočty-náklady'!Z100</f>
        <v>1017995.6102400001</v>
      </c>
      <c r="AA26" s="17">
        <f>'Výpočty-náklady'!AA100</f>
        <v>1017995.6102400001</v>
      </c>
      <c r="AB26" s="17">
        <f>'Výpočty-náklady'!AB100</f>
        <v>1017995.6102400001</v>
      </c>
      <c r="AC26" s="17">
        <f>'Výpočty-náklady'!AC100</f>
        <v>1017995.6102400001</v>
      </c>
      <c r="AD26" s="17">
        <f>'Výpočty-náklady'!AD100</f>
        <v>1017995.6102400001</v>
      </c>
      <c r="AE26" s="17">
        <f>'Výpočty-náklady'!AE100</f>
        <v>1017995.6102400001</v>
      </c>
      <c r="AF26" s="17">
        <f>'Výpočty-náklady'!AF100</f>
        <v>1017995.6102400001</v>
      </c>
      <c r="AG26" s="17">
        <f>'Výpočty-náklady'!AG100</f>
        <v>1017995.6102400001</v>
      </c>
      <c r="AH26" s="17">
        <f>'Výpočty-náklady'!AH100</f>
        <v>1017995.6102400001</v>
      </c>
      <c r="AI26" s="17">
        <f>'Výpočty-náklady'!AI100</f>
        <v>1017995.6102400001</v>
      </c>
      <c r="AJ26" s="17">
        <f>'Výpočty-náklady'!AJ100</f>
        <v>1017995.6102400001</v>
      </c>
      <c r="AK26" s="17">
        <f>'Výpočty-náklady'!AK100</f>
        <v>1017995.6102400001</v>
      </c>
      <c r="AL26" s="17">
        <f>'Výpočty-náklady'!AL100</f>
        <v>1017995.6102400001</v>
      </c>
      <c r="AM26" s="17">
        <f>'Výpočty-náklady'!AM100</f>
        <v>1017995.6102400001</v>
      </c>
      <c r="AN26" s="17">
        <f>'Výpočty-náklady'!AN100</f>
        <v>1017995.6102400001</v>
      </c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</row>
    <row r="27" spans="1:170" x14ac:dyDescent="0.3">
      <c r="A27" s="34" t="s">
        <v>30</v>
      </c>
      <c r="B27" s="34"/>
      <c r="C27" s="19"/>
      <c r="D27" s="19"/>
      <c r="E27" s="21">
        <f t="shared" ref="E27:AN27" si="15">E26/E13</f>
        <v>2.3902942584784218E-2</v>
      </c>
      <c r="F27" s="21">
        <f t="shared" si="15"/>
        <v>2.8606949741282636E-2</v>
      </c>
      <c r="G27" s="21">
        <f t="shared" si="15"/>
        <v>1.7136639093373679E-2</v>
      </c>
      <c r="H27" s="21">
        <f t="shared" si="15"/>
        <v>1.987233348720897E-2</v>
      </c>
      <c r="I27" s="21">
        <f t="shared" si="15"/>
        <v>1.7056663368438519E-2</v>
      </c>
      <c r="J27" s="21">
        <f t="shared" si="15"/>
        <v>1.4735810604530645E-2</v>
      </c>
      <c r="K27" s="21">
        <f t="shared" si="15"/>
        <v>1.4607579512132872E-2</v>
      </c>
      <c r="L27" s="21">
        <f t="shared" si="15"/>
        <v>1.4948792600484579E-2</v>
      </c>
      <c r="M27" s="21">
        <f t="shared" si="15"/>
        <v>1.2686041097118255E-2</v>
      </c>
      <c r="N27" s="21">
        <f t="shared" si="15"/>
        <v>1.2605990329000647E-2</v>
      </c>
      <c r="O27" s="21">
        <f t="shared" si="15"/>
        <v>1.2681811340322474E-2</v>
      </c>
      <c r="P27" s="21">
        <f t="shared" si="15"/>
        <v>1.2600232256108153E-2</v>
      </c>
      <c r="Q27" s="21">
        <f t="shared" si="15"/>
        <v>1.2600232256108153E-2</v>
      </c>
      <c r="R27" s="21">
        <f t="shared" si="15"/>
        <v>1.2600232256108153E-2</v>
      </c>
      <c r="S27" s="21">
        <f t="shared" si="15"/>
        <v>1.2600232256108153E-2</v>
      </c>
      <c r="T27" s="21">
        <f t="shared" si="15"/>
        <v>1.2600232256108153E-2</v>
      </c>
      <c r="U27" s="21">
        <f t="shared" si="15"/>
        <v>1.2600232256108153E-2</v>
      </c>
      <c r="V27" s="21">
        <f t="shared" si="15"/>
        <v>1.2600232256108153E-2</v>
      </c>
      <c r="W27" s="21">
        <f t="shared" si="15"/>
        <v>1.2600232256108153E-2</v>
      </c>
      <c r="X27" s="21">
        <f t="shared" si="15"/>
        <v>1.2600232256108153E-2</v>
      </c>
      <c r="Y27" s="21">
        <f t="shared" si="15"/>
        <v>1.2600232256108153E-2</v>
      </c>
      <c r="Z27" s="21">
        <f t="shared" si="15"/>
        <v>1.2600232256108153E-2</v>
      </c>
      <c r="AA27" s="21">
        <f t="shared" si="15"/>
        <v>1.2600232256108153E-2</v>
      </c>
      <c r="AB27" s="21">
        <f t="shared" si="15"/>
        <v>1.2600232256108153E-2</v>
      </c>
      <c r="AC27" s="21">
        <f t="shared" si="15"/>
        <v>1.2600232256108153E-2</v>
      </c>
      <c r="AD27" s="21">
        <f t="shared" si="15"/>
        <v>1.2600232256108153E-2</v>
      </c>
      <c r="AE27" s="21">
        <f t="shared" si="15"/>
        <v>1.2600232256108153E-2</v>
      </c>
      <c r="AF27" s="21">
        <f t="shared" si="15"/>
        <v>1.2600232256108153E-2</v>
      </c>
      <c r="AG27" s="21">
        <f t="shared" si="15"/>
        <v>1.2600232256108153E-2</v>
      </c>
      <c r="AH27" s="21">
        <f t="shared" si="15"/>
        <v>1.2600232256108153E-2</v>
      </c>
      <c r="AI27" s="21">
        <f t="shared" si="15"/>
        <v>1.2600232256108153E-2</v>
      </c>
      <c r="AJ27" s="21">
        <f t="shared" si="15"/>
        <v>1.2600232256108153E-2</v>
      </c>
      <c r="AK27" s="21">
        <f t="shared" si="15"/>
        <v>1.2600232256108153E-2</v>
      </c>
      <c r="AL27" s="21">
        <f t="shared" si="15"/>
        <v>1.2600232256108153E-2</v>
      </c>
      <c r="AM27" s="21">
        <f t="shared" si="15"/>
        <v>1.2600232256108153E-2</v>
      </c>
      <c r="AN27" s="21">
        <f t="shared" si="15"/>
        <v>1.2600232256108153E-2</v>
      </c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</row>
    <row r="28" spans="1:170" x14ac:dyDescent="0.3">
      <c r="A28" s="75" t="s">
        <v>67</v>
      </c>
      <c r="B28" s="124"/>
      <c r="E28" s="80" t="s">
        <v>3</v>
      </c>
      <c r="F28" s="15">
        <f>(F26-E26)/E26</f>
        <v>0.32877082308456562</v>
      </c>
      <c r="G28" s="15">
        <f t="shared" ref="G28:AN28" si="16">(G26-F26)/F26</f>
        <v>-0.3896401219556459</v>
      </c>
      <c r="H28" s="15">
        <f t="shared" si="16"/>
        <v>0.21073648498976422</v>
      </c>
      <c r="I28" s="15">
        <f t="shared" si="16"/>
        <v>-2.1217081230023416E-2</v>
      </c>
      <c r="J28" s="15">
        <f t="shared" si="16"/>
        <v>-0.12737105952488484</v>
      </c>
      <c r="K28" s="15">
        <f t="shared" si="16"/>
        <v>0.12828231857305311</v>
      </c>
      <c r="L28" s="15">
        <f t="shared" si="16"/>
        <v>6.2865851016928848E-2</v>
      </c>
      <c r="M28" s="15">
        <f t="shared" si="16"/>
        <v>0.15000623387584036</v>
      </c>
      <c r="N28" s="15">
        <f t="shared" si="16"/>
        <v>1.9999999999999976E-2</v>
      </c>
      <c r="O28" s="15">
        <f t="shared" si="16"/>
        <v>2.0000000000000035E-2</v>
      </c>
      <c r="P28" s="15">
        <f t="shared" si="16"/>
        <v>2.0000000000000056E-2</v>
      </c>
      <c r="Q28" s="15">
        <f t="shared" si="16"/>
        <v>0</v>
      </c>
      <c r="R28" s="15">
        <f t="shared" si="16"/>
        <v>0</v>
      </c>
      <c r="S28" s="15">
        <f t="shared" si="16"/>
        <v>0</v>
      </c>
      <c r="T28" s="15">
        <f t="shared" si="16"/>
        <v>0</v>
      </c>
      <c r="U28" s="15">
        <f t="shared" si="16"/>
        <v>0</v>
      </c>
      <c r="V28" s="15">
        <f t="shared" si="16"/>
        <v>0</v>
      </c>
      <c r="W28" s="15">
        <f t="shared" si="16"/>
        <v>0</v>
      </c>
      <c r="X28" s="15">
        <f t="shared" si="16"/>
        <v>0</v>
      </c>
      <c r="Y28" s="15">
        <f t="shared" si="16"/>
        <v>0</v>
      </c>
      <c r="Z28" s="15">
        <f t="shared" si="16"/>
        <v>0</v>
      </c>
      <c r="AA28" s="15">
        <f t="shared" si="16"/>
        <v>0</v>
      </c>
      <c r="AB28" s="15">
        <f t="shared" si="16"/>
        <v>0</v>
      </c>
      <c r="AC28" s="15">
        <f t="shared" si="16"/>
        <v>0</v>
      </c>
      <c r="AD28" s="15">
        <f t="shared" si="16"/>
        <v>0</v>
      </c>
      <c r="AE28" s="15">
        <f t="shared" si="16"/>
        <v>0</v>
      </c>
      <c r="AF28" s="15">
        <f t="shared" si="16"/>
        <v>0</v>
      </c>
      <c r="AG28" s="15">
        <f t="shared" si="16"/>
        <v>0</v>
      </c>
      <c r="AH28" s="15">
        <f t="shared" si="16"/>
        <v>0</v>
      </c>
      <c r="AI28" s="15">
        <f t="shared" si="16"/>
        <v>0</v>
      </c>
      <c r="AJ28" s="15">
        <f t="shared" si="16"/>
        <v>0</v>
      </c>
      <c r="AK28" s="15">
        <f t="shared" si="16"/>
        <v>0</v>
      </c>
      <c r="AL28" s="15">
        <f t="shared" si="16"/>
        <v>0</v>
      </c>
      <c r="AM28" s="15">
        <f t="shared" si="16"/>
        <v>0</v>
      </c>
      <c r="AN28" s="15">
        <f t="shared" si="16"/>
        <v>0</v>
      </c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</row>
    <row r="29" spans="1:170" x14ac:dyDescent="0.3">
      <c r="A29" s="75"/>
      <c r="B29" s="124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</row>
    <row r="30" spans="1:170" x14ac:dyDescent="0.3">
      <c r="A30" s="325" t="s">
        <v>31</v>
      </c>
      <c r="B30" s="325"/>
      <c r="E30" s="17">
        <v>2441149</v>
      </c>
      <c r="F30" s="17">
        <v>2578108</v>
      </c>
      <c r="G30" s="17">
        <v>2600122</v>
      </c>
      <c r="H30" s="17">
        <v>2907040</v>
      </c>
      <c r="I30" s="17">
        <v>3105273</v>
      </c>
      <c r="J30" s="17">
        <v>2728798</v>
      </c>
      <c r="K30" s="36">
        <v>2952173</v>
      </c>
      <c r="L30" s="17">
        <f>'Výpočty-náklady'!L42</f>
        <v>3248925</v>
      </c>
      <c r="M30" s="17">
        <f>'Výpočty-náklady'!M103</f>
        <v>3736260</v>
      </c>
      <c r="N30" s="17">
        <f>'Výpočty-náklady'!N103</f>
        <v>3810985.2</v>
      </c>
      <c r="O30" s="17">
        <f>'Výpočty-náklady'!O103</f>
        <v>3887204.9040000001</v>
      </c>
      <c r="P30" s="17">
        <f>'Výpočty-náklady'!P103</f>
        <v>3964949.00208</v>
      </c>
      <c r="Q30" s="17">
        <f>'Výpočty-náklady'!Q103</f>
        <v>3964949.00208</v>
      </c>
      <c r="R30" s="17">
        <f>'Výpočty-náklady'!R103</f>
        <v>3964949.00208</v>
      </c>
      <c r="S30" s="17">
        <f>'Výpočty-náklady'!S103</f>
        <v>3964949.00208</v>
      </c>
      <c r="T30" s="17">
        <f>'Výpočty-náklady'!T103</f>
        <v>3964949.00208</v>
      </c>
      <c r="U30" s="17">
        <f>'Výpočty-náklady'!U103</f>
        <v>3964949.00208</v>
      </c>
      <c r="V30" s="17">
        <f>'Výpočty-náklady'!V103</f>
        <v>3964949.00208</v>
      </c>
      <c r="W30" s="17">
        <f>'Výpočty-náklady'!W103</f>
        <v>3964949.00208</v>
      </c>
      <c r="X30" s="17">
        <f>'Výpočty-náklady'!X103</f>
        <v>3964949.00208</v>
      </c>
      <c r="Y30" s="17">
        <f>'Výpočty-náklady'!Y103</f>
        <v>3964949.00208</v>
      </c>
      <c r="Z30" s="17">
        <f>'Výpočty-náklady'!Z103</f>
        <v>3964949.00208</v>
      </c>
      <c r="AA30" s="17">
        <f>'Výpočty-náklady'!AA103</f>
        <v>3964949.00208</v>
      </c>
      <c r="AB30" s="17">
        <f>'Výpočty-náklady'!AB103</f>
        <v>3964949.00208</v>
      </c>
      <c r="AC30" s="17">
        <f>'Výpočty-náklady'!AC103</f>
        <v>3964949.00208</v>
      </c>
      <c r="AD30" s="17">
        <f>'Výpočty-náklady'!AD103</f>
        <v>3964949.00208</v>
      </c>
      <c r="AE30" s="17">
        <f>'Výpočty-náklady'!AE103</f>
        <v>3964949.00208</v>
      </c>
      <c r="AF30" s="17">
        <f>'Výpočty-náklady'!AF103</f>
        <v>3964949.00208</v>
      </c>
      <c r="AG30" s="17">
        <f>'Výpočty-náklady'!AG103</f>
        <v>3964949.00208</v>
      </c>
      <c r="AH30" s="17">
        <f>'Výpočty-náklady'!AH103</f>
        <v>3964949.00208</v>
      </c>
      <c r="AI30" s="17">
        <f>'Výpočty-náklady'!AI103</f>
        <v>3964949.00208</v>
      </c>
      <c r="AJ30" s="17">
        <f>'Výpočty-náklady'!AJ103</f>
        <v>3964949.00208</v>
      </c>
      <c r="AK30" s="17">
        <f>'Výpočty-náklady'!AK103</f>
        <v>3964949.00208</v>
      </c>
      <c r="AL30" s="17">
        <f>'Výpočty-náklady'!AL103</f>
        <v>3964949.00208</v>
      </c>
      <c r="AM30" s="17">
        <f>'Výpočty-náklady'!AM103</f>
        <v>3964949.00208</v>
      </c>
      <c r="AN30" s="17">
        <f>'Výpočty-náklady'!AN103</f>
        <v>3964949.00208</v>
      </c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</row>
    <row r="31" spans="1:170" x14ac:dyDescent="0.3">
      <c r="A31" s="37" t="s">
        <v>68</v>
      </c>
      <c r="B31" s="37"/>
      <c r="E31" s="21">
        <f t="shared" ref="E31:AN31" si="17">E30/E13</f>
        <v>7.0355553129495485E-2</v>
      </c>
      <c r="F31" s="21">
        <f t="shared" si="17"/>
        <v>6.6922984631772611E-2</v>
      </c>
      <c r="G31" s="21">
        <f t="shared" si="17"/>
        <v>6.624239722636735E-2</v>
      </c>
      <c r="H31" s="21">
        <f t="shared" si="17"/>
        <v>7.0936034829284664E-2</v>
      </c>
      <c r="I31" s="21">
        <f t="shared" si="17"/>
        <v>6.644686848034051E-2</v>
      </c>
      <c r="J31" s="21">
        <f t="shared" si="17"/>
        <v>5.7809133498118864E-2</v>
      </c>
      <c r="K31" s="38">
        <f t="shared" si="17"/>
        <v>5.4948181137278181E-2</v>
      </c>
      <c r="L31" s="38">
        <f t="shared" si="17"/>
        <v>5.8223808130328E-2</v>
      </c>
      <c r="M31" s="38">
        <f t="shared" si="17"/>
        <v>4.9410336825034457E-2</v>
      </c>
      <c r="N31" s="38">
        <f t="shared" si="17"/>
        <v>4.9098550398874119E-2</v>
      </c>
      <c r="O31" s="38">
        <f t="shared" si="17"/>
        <v>4.9393862520216464E-2</v>
      </c>
      <c r="P31" s="38">
        <f t="shared" si="17"/>
        <v>4.9076123518896092E-2</v>
      </c>
      <c r="Q31" s="38">
        <f t="shared" si="17"/>
        <v>4.9076123518896092E-2</v>
      </c>
      <c r="R31" s="38">
        <f t="shared" si="17"/>
        <v>4.9076123518896092E-2</v>
      </c>
      <c r="S31" s="38">
        <f t="shared" si="17"/>
        <v>4.9076123518896092E-2</v>
      </c>
      <c r="T31" s="38">
        <f t="shared" si="17"/>
        <v>4.9076123518896092E-2</v>
      </c>
      <c r="U31" s="38">
        <f t="shared" si="17"/>
        <v>4.9076123518896092E-2</v>
      </c>
      <c r="V31" s="38">
        <f t="shared" si="17"/>
        <v>4.9076123518896092E-2</v>
      </c>
      <c r="W31" s="38">
        <f t="shared" si="17"/>
        <v>4.9076123518896092E-2</v>
      </c>
      <c r="X31" s="38">
        <f t="shared" si="17"/>
        <v>4.9076123518896092E-2</v>
      </c>
      <c r="Y31" s="38">
        <f t="shared" si="17"/>
        <v>4.9076123518896092E-2</v>
      </c>
      <c r="Z31" s="38">
        <f t="shared" si="17"/>
        <v>4.9076123518896092E-2</v>
      </c>
      <c r="AA31" s="38">
        <f t="shared" si="17"/>
        <v>4.9076123518896092E-2</v>
      </c>
      <c r="AB31" s="38">
        <f t="shared" si="17"/>
        <v>4.9076123518896092E-2</v>
      </c>
      <c r="AC31" s="38">
        <f t="shared" si="17"/>
        <v>4.9076123518896092E-2</v>
      </c>
      <c r="AD31" s="38">
        <f t="shared" si="17"/>
        <v>4.9076123518896092E-2</v>
      </c>
      <c r="AE31" s="38">
        <f t="shared" si="17"/>
        <v>4.9076123518896092E-2</v>
      </c>
      <c r="AF31" s="38">
        <f t="shared" si="17"/>
        <v>4.9076123518896092E-2</v>
      </c>
      <c r="AG31" s="38">
        <f t="shared" si="17"/>
        <v>4.9076123518896092E-2</v>
      </c>
      <c r="AH31" s="38">
        <f t="shared" si="17"/>
        <v>4.9076123518896092E-2</v>
      </c>
      <c r="AI31" s="38">
        <f t="shared" si="17"/>
        <v>4.9076123518896092E-2</v>
      </c>
      <c r="AJ31" s="38">
        <f t="shared" si="17"/>
        <v>4.9076123518896092E-2</v>
      </c>
      <c r="AK31" s="38">
        <f t="shared" si="17"/>
        <v>4.9076123518896092E-2</v>
      </c>
      <c r="AL31" s="38">
        <f t="shared" si="17"/>
        <v>4.9076123518896092E-2</v>
      </c>
      <c r="AM31" s="38">
        <f t="shared" si="17"/>
        <v>4.9076123518896092E-2</v>
      </c>
      <c r="AN31" s="38">
        <f t="shared" si="17"/>
        <v>4.9076123518896092E-2</v>
      </c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</row>
    <row r="32" spans="1:170" x14ac:dyDescent="0.3">
      <c r="A32" s="75" t="s">
        <v>69</v>
      </c>
      <c r="B32" s="124"/>
      <c r="E32" s="80" t="s">
        <v>3</v>
      </c>
      <c r="F32" s="15">
        <f>(F30-E30)/E30</f>
        <v>5.610431808955537E-2</v>
      </c>
      <c r="G32" s="15">
        <f t="shared" ref="G32:AN32" si="18">(G30-F30)/F30</f>
        <v>8.5388199408248221E-3</v>
      </c>
      <c r="H32" s="15">
        <f t="shared" si="18"/>
        <v>0.11803984582261909</v>
      </c>
      <c r="I32" s="15">
        <f t="shared" si="18"/>
        <v>6.8190668171060592E-2</v>
      </c>
      <c r="J32" s="15">
        <f t="shared" si="18"/>
        <v>-0.12123732760372437</v>
      </c>
      <c r="K32" s="15">
        <f t="shared" si="18"/>
        <v>8.1858385999989736E-2</v>
      </c>
      <c r="L32" s="15">
        <f t="shared" si="18"/>
        <v>0.10051985435812874</v>
      </c>
      <c r="M32" s="15">
        <f t="shared" si="18"/>
        <v>0.14999884577206307</v>
      </c>
      <c r="N32" s="15">
        <f t="shared" si="18"/>
        <v>2.0000000000000049E-2</v>
      </c>
      <c r="O32" s="15">
        <f t="shared" si="18"/>
        <v>1.9999999999999976E-2</v>
      </c>
      <c r="P32" s="15">
        <f t="shared" si="18"/>
        <v>1.9999999999999976E-2</v>
      </c>
      <c r="Q32" s="15">
        <f t="shared" si="18"/>
        <v>0</v>
      </c>
      <c r="R32" s="15">
        <f t="shared" si="18"/>
        <v>0</v>
      </c>
      <c r="S32" s="15">
        <f t="shared" si="18"/>
        <v>0</v>
      </c>
      <c r="T32" s="15">
        <f t="shared" si="18"/>
        <v>0</v>
      </c>
      <c r="U32" s="15">
        <f t="shared" si="18"/>
        <v>0</v>
      </c>
      <c r="V32" s="15">
        <f t="shared" si="18"/>
        <v>0</v>
      </c>
      <c r="W32" s="15">
        <f t="shared" si="18"/>
        <v>0</v>
      </c>
      <c r="X32" s="15">
        <f t="shared" si="18"/>
        <v>0</v>
      </c>
      <c r="Y32" s="15">
        <f t="shared" si="18"/>
        <v>0</v>
      </c>
      <c r="Z32" s="15">
        <f t="shared" si="18"/>
        <v>0</v>
      </c>
      <c r="AA32" s="15">
        <f t="shared" si="18"/>
        <v>0</v>
      </c>
      <c r="AB32" s="15">
        <f t="shared" si="18"/>
        <v>0</v>
      </c>
      <c r="AC32" s="15">
        <f t="shared" si="18"/>
        <v>0</v>
      </c>
      <c r="AD32" s="15">
        <f t="shared" si="18"/>
        <v>0</v>
      </c>
      <c r="AE32" s="15">
        <f t="shared" si="18"/>
        <v>0</v>
      </c>
      <c r="AF32" s="15">
        <f t="shared" si="18"/>
        <v>0</v>
      </c>
      <c r="AG32" s="15">
        <f t="shared" si="18"/>
        <v>0</v>
      </c>
      <c r="AH32" s="15">
        <f t="shared" si="18"/>
        <v>0</v>
      </c>
      <c r="AI32" s="15">
        <f t="shared" si="18"/>
        <v>0</v>
      </c>
      <c r="AJ32" s="15">
        <f t="shared" si="18"/>
        <v>0</v>
      </c>
      <c r="AK32" s="15">
        <f t="shared" si="18"/>
        <v>0</v>
      </c>
      <c r="AL32" s="15">
        <f t="shared" si="18"/>
        <v>0</v>
      </c>
      <c r="AM32" s="15">
        <f t="shared" si="18"/>
        <v>0</v>
      </c>
      <c r="AN32" s="15">
        <f t="shared" si="18"/>
        <v>0</v>
      </c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</row>
    <row r="33" spans="1:170" x14ac:dyDescent="0.3">
      <c r="A33" s="75"/>
      <c r="B33" s="124"/>
      <c r="E33" s="17"/>
      <c r="F33" s="17"/>
      <c r="G33" s="17"/>
      <c r="H33" s="17"/>
      <c r="I33" s="17"/>
      <c r="J33" s="17"/>
      <c r="K33" s="36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</row>
    <row r="34" spans="1:170" x14ac:dyDescent="0.3">
      <c r="A34" s="325" t="s">
        <v>33</v>
      </c>
      <c r="B34" s="325"/>
      <c r="E34" s="17">
        <f>'Výpočty-náklady'!E45</f>
        <v>2515008</v>
      </c>
      <c r="F34" s="17">
        <f>'Výpočty-náklady'!F45</f>
        <v>2807177</v>
      </c>
      <c r="G34" s="17">
        <f>'Výpočty-náklady'!G45</f>
        <v>2882523</v>
      </c>
      <c r="H34" s="17">
        <f>'Výpočty-náklady'!H45</f>
        <v>2890546</v>
      </c>
      <c r="I34" s="17">
        <f>'Výpočty-náklady'!I45</f>
        <v>3188522</v>
      </c>
      <c r="J34" s="17">
        <f>'Výpočty-náklady'!J45</f>
        <v>3055778</v>
      </c>
      <c r="K34" s="17">
        <f>'Výpočty-náklady'!K45</f>
        <v>3097226.74</v>
      </c>
      <c r="L34" s="17">
        <f>'Výpočty-náklady'!L45</f>
        <v>3920723</v>
      </c>
      <c r="M34" s="17">
        <f>'Výpočty-náklady'!M106</f>
        <v>4411433</v>
      </c>
      <c r="N34" s="17">
        <f>'Výpočty-náklady'!N106</f>
        <v>4499661.66</v>
      </c>
      <c r="O34" s="17">
        <f>'Výpočty-náklady'!O106</f>
        <v>4589750.732400001</v>
      </c>
      <c r="P34" s="17">
        <f>'Výpočty-náklady'!P106</f>
        <v>4681644.4614240006</v>
      </c>
      <c r="Q34" s="17">
        <f>'Výpočty-náklady'!Q106</f>
        <v>4681644.4614240006</v>
      </c>
      <c r="R34" s="17">
        <f>'Výpočty-náklady'!R106</f>
        <v>4681644.4614240006</v>
      </c>
      <c r="S34" s="17">
        <f>'Výpočty-náklady'!S106</f>
        <v>4681644.4614240006</v>
      </c>
      <c r="T34" s="17">
        <f>'Výpočty-náklady'!T106</f>
        <v>4681644.4614240006</v>
      </c>
      <c r="U34" s="17">
        <f>'Výpočty-náklady'!U106</f>
        <v>4681644.4614240006</v>
      </c>
      <c r="V34" s="17">
        <f>'Výpočty-náklady'!V106</f>
        <v>4681644.4614240006</v>
      </c>
      <c r="W34" s="17">
        <f>'Výpočty-náklady'!W106</f>
        <v>4681644.4614240006</v>
      </c>
      <c r="X34" s="17">
        <f>'Výpočty-náklady'!X106</f>
        <v>4681644.4614240006</v>
      </c>
      <c r="Y34" s="17">
        <f>'Výpočty-náklady'!Y106</f>
        <v>4681644.4614240006</v>
      </c>
      <c r="Z34" s="17">
        <f>'Výpočty-náklady'!Z106</f>
        <v>4681644.4614240006</v>
      </c>
      <c r="AA34" s="17">
        <f>'Výpočty-náklady'!AA106</f>
        <v>4681644.4614240006</v>
      </c>
      <c r="AB34" s="17">
        <f>'Výpočty-náklady'!AB106</f>
        <v>4681644.4614240006</v>
      </c>
      <c r="AC34" s="17">
        <f>'Výpočty-náklady'!AC106</f>
        <v>4681644.4614240006</v>
      </c>
      <c r="AD34" s="17">
        <f>'Výpočty-náklady'!AD106</f>
        <v>4681644.4614240006</v>
      </c>
      <c r="AE34" s="17">
        <f>'Výpočty-náklady'!AE106</f>
        <v>4681644.4614240006</v>
      </c>
      <c r="AF34" s="17">
        <f>'Výpočty-náklady'!AF106</f>
        <v>4681644.4614240006</v>
      </c>
      <c r="AG34" s="17">
        <f>'Výpočty-náklady'!AG106</f>
        <v>4681644.4614240006</v>
      </c>
      <c r="AH34" s="17">
        <f>'Výpočty-náklady'!AH106</f>
        <v>4681644.4614240006</v>
      </c>
      <c r="AI34" s="17">
        <f>'Výpočty-náklady'!AI106</f>
        <v>4681644.4614240006</v>
      </c>
      <c r="AJ34" s="17">
        <f>'Výpočty-náklady'!AJ106</f>
        <v>4681644.4614240006</v>
      </c>
      <c r="AK34" s="17">
        <f>'Výpočty-náklady'!AK106</f>
        <v>4681644.4614240006</v>
      </c>
      <c r="AL34" s="17">
        <f>'Výpočty-náklady'!AL106</f>
        <v>4681644.4614240006</v>
      </c>
      <c r="AM34" s="17">
        <f>'Výpočty-náklady'!AM106</f>
        <v>4681644.4614240006</v>
      </c>
      <c r="AN34" s="17">
        <f>'Výpočty-náklady'!AN106</f>
        <v>4681644.4614240006</v>
      </c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</row>
    <row r="35" spans="1:170" x14ac:dyDescent="0.3">
      <c r="A35" s="34" t="s">
        <v>34</v>
      </c>
      <c r="B35" s="34"/>
      <c r="C35" s="19"/>
      <c r="E35" s="21">
        <f>E34/E13</f>
        <v>7.2484219097280089E-2</v>
      </c>
      <c r="F35" s="21">
        <f>F34/F13</f>
        <v>7.2869198353856995E-2</v>
      </c>
      <c r="G35" s="21">
        <f>G34/G13</f>
        <v>7.3437028562559792E-2</v>
      </c>
      <c r="H35" s="21">
        <f>H34/H13</f>
        <v>7.0533557065485669E-2</v>
      </c>
      <c r="I35" s="21">
        <f>I34/I13</f>
        <v>6.8228236931397748E-2</v>
      </c>
      <c r="J35" s="21"/>
      <c r="K35" s="21">
        <f t="shared" ref="K35:AN35" si="19">K34/K13</f>
        <v>5.7648036186477417E-2</v>
      </c>
      <c r="L35" s="21">
        <f t="shared" si="19"/>
        <v>7.0263063531526268E-2</v>
      </c>
      <c r="M35" s="21">
        <f t="shared" si="19"/>
        <v>5.8339192243332165E-2</v>
      </c>
      <c r="N35" s="21">
        <f t="shared" si="19"/>
        <v>5.7971063438239427E-2</v>
      </c>
      <c r="O35" s="21">
        <f t="shared" si="19"/>
        <v>5.8320958703500458E-2</v>
      </c>
      <c r="P35" s="21">
        <f t="shared" si="19"/>
        <v>5.7947015646322368E-2</v>
      </c>
      <c r="Q35" s="21">
        <f t="shared" si="19"/>
        <v>5.7947015646322368E-2</v>
      </c>
      <c r="R35" s="21">
        <f t="shared" si="19"/>
        <v>5.7947015646322368E-2</v>
      </c>
      <c r="S35" s="21">
        <f t="shared" si="19"/>
        <v>5.7947015646322368E-2</v>
      </c>
      <c r="T35" s="21">
        <f t="shared" si="19"/>
        <v>5.7947015646322368E-2</v>
      </c>
      <c r="U35" s="21">
        <f t="shared" si="19"/>
        <v>5.7947015646322368E-2</v>
      </c>
      <c r="V35" s="21">
        <f t="shared" si="19"/>
        <v>5.7947015646322368E-2</v>
      </c>
      <c r="W35" s="21">
        <f t="shared" si="19"/>
        <v>5.7947015646322368E-2</v>
      </c>
      <c r="X35" s="21">
        <f t="shared" si="19"/>
        <v>5.7947015646322368E-2</v>
      </c>
      <c r="Y35" s="21">
        <f t="shared" si="19"/>
        <v>5.7947015646322368E-2</v>
      </c>
      <c r="Z35" s="21">
        <f t="shared" si="19"/>
        <v>5.7947015646322368E-2</v>
      </c>
      <c r="AA35" s="21">
        <f t="shared" si="19"/>
        <v>5.7947015646322368E-2</v>
      </c>
      <c r="AB35" s="21">
        <f t="shared" si="19"/>
        <v>5.7947015646322368E-2</v>
      </c>
      <c r="AC35" s="21">
        <f t="shared" si="19"/>
        <v>5.7947015646322368E-2</v>
      </c>
      <c r="AD35" s="21">
        <f t="shared" si="19"/>
        <v>5.7947015646322368E-2</v>
      </c>
      <c r="AE35" s="21">
        <f t="shared" si="19"/>
        <v>5.7947015646322368E-2</v>
      </c>
      <c r="AF35" s="21">
        <f t="shared" si="19"/>
        <v>5.7947015646322368E-2</v>
      </c>
      <c r="AG35" s="21">
        <f t="shared" si="19"/>
        <v>5.7947015646322368E-2</v>
      </c>
      <c r="AH35" s="21">
        <f t="shared" si="19"/>
        <v>5.7947015646322368E-2</v>
      </c>
      <c r="AI35" s="21">
        <f t="shared" si="19"/>
        <v>5.7947015646322368E-2</v>
      </c>
      <c r="AJ35" s="21">
        <f t="shared" si="19"/>
        <v>5.7947015646322368E-2</v>
      </c>
      <c r="AK35" s="21">
        <f t="shared" si="19"/>
        <v>5.7947015646322368E-2</v>
      </c>
      <c r="AL35" s="21">
        <f t="shared" si="19"/>
        <v>5.7947015646322368E-2</v>
      </c>
      <c r="AM35" s="21">
        <f t="shared" si="19"/>
        <v>5.7947015646322368E-2</v>
      </c>
      <c r="AN35" s="21">
        <f t="shared" si="19"/>
        <v>5.7947015646322368E-2</v>
      </c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</row>
    <row r="36" spans="1:170" x14ac:dyDescent="0.3">
      <c r="A36" s="75" t="s">
        <v>70</v>
      </c>
      <c r="B36" s="75"/>
      <c r="E36" s="80" t="s">
        <v>3</v>
      </c>
      <c r="F36" s="15">
        <f>(F34-E34)/E34</f>
        <v>0.116170207013258</v>
      </c>
      <c r="G36" s="15">
        <f t="shared" ref="G36:AN36" si="20">(G34-F34)/F34</f>
        <v>2.6840487792540335E-2</v>
      </c>
      <c r="H36" s="15">
        <f t="shared" si="20"/>
        <v>2.7833255797091645E-3</v>
      </c>
      <c r="I36" s="15">
        <f t="shared" si="20"/>
        <v>0.10308640651281799</v>
      </c>
      <c r="J36" s="15">
        <f t="shared" si="20"/>
        <v>-4.1631828163644476E-2</v>
      </c>
      <c r="K36" s="15">
        <f t="shared" si="20"/>
        <v>1.3564054718634738E-2</v>
      </c>
      <c r="L36" s="15">
        <f t="shared" si="20"/>
        <v>0.26588181270835848</v>
      </c>
      <c r="M36" s="15">
        <f t="shared" si="20"/>
        <v>0.12515803845362194</v>
      </c>
      <c r="N36" s="15">
        <f t="shared" si="20"/>
        <v>2.0000000000000035E-2</v>
      </c>
      <c r="O36" s="15">
        <f t="shared" si="20"/>
        <v>2.002129920141615E-2</v>
      </c>
      <c r="P36" s="15">
        <f t="shared" si="20"/>
        <v>2.0021507568004221E-2</v>
      </c>
      <c r="Q36" s="15">
        <f t="shared" si="20"/>
        <v>0</v>
      </c>
      <c r="R36" s="15">
        <f t="shared" si="20"/>
        <v>0</v>
      </c>
      <c r="S36" s="15">
        <f t="shared" si="20"/>
        <v>0</v>
      </c>
      <c r="T36" s="15">
        <f t="shared" si="20"/>
        <v>0</v>
      </c>
      <c r="U36" s="15">
        <f t="shared" si="20"/>
        <v>0</v>
      </c>
      <c r="V36" s="15">
        <f t="shared" si="20"/>
        <v>0</v>
      </c>
      <c r="W36" s="15">
        <f t="shared" si="20"/>
        <v>0</v>
      </c>
      <c r="X36" s="15">
        <f t="shared" si="20"/>
        <v>0</v>
      </c>
      <c r="Y36" s="15">
        <f t="shared" si="20"/>
        <v>0</v>
      </c>
      <c r="Z36" s="15">
        <f t="shared" si="20"/>
        <v>0</v>
      </c>
      <c r="AA36" s="15">
        <f t="shared" si="20"/>
        <v>0</v>
      </c>
      <c r="AB36" s="15">
        <f t="shared" si="20"/>
        <v>0</v>
      </c>
      <c r="AC36" s="15">
        <f t="shared" si="20"/>
        <v>0</v>
      </c>
      <c r="AD36" s="15">
        <f t="shared" si="20"/>
        <v>0</v>
      </c>
      <c r="AE36" s="15">
        <f t="shared" si="20"/>
        <v>0</v>
      </c>
      <c r="AF36" s="15">
        <f t="shared" si="20"/>
        <v>0</v>
      </c>
      <c r="AG36" s="15">
        <f t="shared" si="20"/>
        <v>0</v>
      </c>
      <c r="AH36" s="15">
        <f t="shared" si="20"/>
        <v>0</v>
      </c>
      <c r="AI36" s="15">
        <f t="shared" si="20"/>
        <v>0</v>
      </c>
      <c r="AJ36" s="15">
        <f t="shared" si="20"/>
        <v>0</v>
      </c>
      <c r="AK36" s="15">
        <f t="shared" si="20"/>
        <v>0</v>
      </c>
      <c r="AL36" s="15">
        <f t="shared" si="20"/>
        <v>0</v>
      </c>
      <c r="AM36" s="15">
        <f t="shared" si="20"/>
        <v>0</v>
      </c>
      <c r="AN36" s="15">
        <f t="shared" si="20"/>
        <v>0</v>
      </c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</row>
    <row r="37" spans="1:170" x14ac:dyDescent="0.3"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</row>
    <row r="38" spans="1:170" s="46" customFormat="1" x14ac:dyDescent="0.3">
      <c r="A38" s="45" t="s">
        <v>50</v>
      </c>
      <c r="E38" s="47">
        <f t="shared" ref="E38:AN38" si="21">E6-E13</f>
        <v>4460236</v>
      </c>
      <c r="F38" s="47">
        <f t="shared" si="21"/>
        <v>3417897</v>
      </c>
      <c r="G38" s="47">
        <f t="shared" si="21"/>
        <v>3214595</v>
      </c>
      <c r="H38" s="47">
        <f t="shared" si="21"/>
        <v>3121332</v>
      </c>
      <c r="I38" s="47">
        <f t="shared" si="21"/>
        <v>2671582</v>
      </c>
      <c r="J38" s="47">
        <f t="shared" si="21"/>
        <v>2590487</v>
      </c>
      <c r="K38" s="47">
        <f t="shared" si="21"/>
        <v>2541228.2599999979</v>
      </c>
      <c r="L38" s="76">
        <f t="shared" si="21"/>
        <v>2335524</v>
      </c>
      <c r="M38" s="76">
        <f t="shared" si="21"/>
        <v>2569320.1376000047</v>
      </c>
      <c r="N38" s="76">
        <f t="shared" si="21"/>
        <v>1349055.809551999</v>
      </c>
      <c r="O38" s="76">
        <f t="shared" si="21"/>
        <v>1059699.5742430389</v>
      </c>
      <c r="P38" s="76">
        <f t="shared" si="21"/>
        <v>-236399.35894109309</v>
      </c>
      <c r="Q38" s="76">
        <f t="shared" si="21"/>
        <v>-236399.35894109309</v>
      </c>
      <c r="R38" s="76">
        <f t="shared" si="21"/>
        <v>-236399.35894109309</v>
      </c>
      <c r="S38" s="76">
        <f t="shared" si="21"/>
        <v>-236399.35894109309</v>
      </c>
      <c r="T38" s="76">
        <f t="shared" si="21"/>
        <v>-236399.35894109309</v>
      </c>
      <c r="U38" s="76">
        <f t="shared" si="21"/>
        <v>-236399.35894109309</v>
      </c>
      <c r="V38" s="76">
        <f t="shared" si="21"/>
        <v>-236399.35894109309</v>
      </c>
      <c r="W38" s="76">
        <f t="shared" si="21"/>
        <v>-236399.35894109309</v>
      </c>
      <c r="X38" s="76">
        <f t="shared" si="21"/>
        <v>-236399.35894109309</v>
      </c>
      <c r="Y38" s="76">
        <f t="shared" si="21"/>
        <v>-236399.35894109309</v>
      </c>
      <c r="Z38" s="76">
        <f t="shared" si="21"/>
        <v>-236399.35894109309</v>
      </c>
      <c r="AA38" s="76">
        <f t="shared" si="21"/>
        <v>-236399.35894109309</v>
      </c>
      <c r="AB38" s="76">
        <f t="shared" si="21"/>
        <v>-236399.35894109309</v>
      </c>
      <c r="AC38" s="76">
        <f t="shared" si="21"/>
        <v>-236399.35894109309</v>
      </c>
      <c r="AD38" s="76">
        <f t="shared" si="21"/>
        <v>-236399.35894109309</v>
      </c>
      <c r="AE38" s="76">
        <f t="shared" si="21"/>
        <v>-236399.35894109309</v>
      </c>
      <c r="AF38" s="76">
        <f t="shared" si="21"/>
        <v>-236399.35894109309</v>
      </c>
      <c r="AG38" s="76">
        <f t="shared" si="21"/>
        <v>-236399.35894109309</v>
      </c>
      <c r="AH38" s="76">
        <f t="shared" si="21"/>
        <v>-236399.35894109309</v>
      </c>
      <c r="AI38" s="76">
        <f t="shared" si="21"/>
        <v>-236399.35894109309</v>
      </c>
      <c r="AJ38" s="76">
        <f t="shared" si="21"/>
        <v>-236399.35894109309</v>
      </c>
      <c r="AK38" s="76">
        <f t="shared" si="21"/>
        <v>-236399.35894109309</v>
      </c>
      <c r="AL38" s="76">
        <f t="shared" si="21"/>
        <v>-236399.35894109309</v>
      </c>
      <c r="AM38" s="76">
        <f t="shared" si="21"/>
        <v>-236399.35894109309</v>
      </c>
      <c r="AN38" s="76">
        <f t="shared" si="21"/>
        <v>-236399.35894109309</v>
      </c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8"/>
      <c r="CA38" s="48"/>
      <c r="CB38" s="48"/>
      <c r="CC38" s="48"/>
      <c r="CD38" s="48"/>
      <c r="CE38" s="48"/>
      <c r="CF38" s="48"/>
      <c r="CG38" s="48"/>
      <c r="CH38" s="48"/>
      <c r="CI38" s="48"/>
      <c r="CJ38" s="48"/>
      <c r="CK38" s="48"/>
      <c r="CL38" s="48"/>
      <c r="CM38" s="48"/>
      <c r="CN38" s="48"/>
      <c r="CO38" s="48"/>
      <c r="CP38" s="48"/>
      <c r="CQ38" s="48"/>
      <c r="CR38" s="48"/>
      <c r="CS38" s="48"/>
      <c r="CT38" s="48"/>
      <c r="CU38" s="48"/>
      <c r="CV38" s="48"/>
      <c r="CW38" s="48"/>
      <c r="CX38" s="48"/>
      <c r="CY38" s="48"/>
      <c r="CZ38" s="48"/>
      <c r="DA38" s="48"/>
      <c r="DB38" s="48"/>
      <c r="DC38" s="48"/>
      <c r="DD38" s="48"/>
      <c r="DE38" s="48"/>
      <c r="DF38" s="48"/>
      <c r="DG38" s="48"/>
      <c r="DH38" s="48"/>
      <c r="DI38" s="48"/>
      <c r="DJ38" s="48"/>
      <c r="DK38" s="48"/>
      <c r="DL38" s="48"/>
      <c r="DM38" s="48"/>
      <c r="DN38" s="48"/>
      <c r="DO38" s="48"/>
      <c r="DP38" s="48"/>
      <c r="DQ38" s="48"/>
      <c r="DR38" s="48"/>
      <c r="DS38" s="48"/>
      <c r="DT38" s="48"/>
      <c r="DU38" s="48"/>
      <c r="DV38" s="48"/>
      <c r="DW38" s="48"/>
      <c r="DX38" s="48"/>
      <c r="DY38" s="48"/>
      <c r="DZ38" s="48"/>
      <c r="EA38" s="48"/>
      <c r="EB38" s="48"/>
      <c r="EC38" s="48"/>
      <c r="ED38" s="48"/>
      <c r="EE38" s="48"/>
      <c r="EF38" s="48"/>
      <c r="EG38" s="48"/>
      <c r="EH38" s="48"/>
      <c r="EI38" s="48"/>
      <c r="EJ38" s="48"/>
      <c r="EK38" s="48"/>
      <c r="EL38" s="48"/>
      <c r="EM38" s="48"/>
      <c r="EN38" s="48"/>
      <c r="EO38" s="48"/>
      <c r="EP38" s="48"/>
      <c r="EQ38" s="48"/>
      <c r="ER38" s="48"/>
      <c r="ES38" s="48"/>
      <c r="ET38" s="48"/>
      <c r="EU38" s="48"/>
      <c r="EV38" s="48"/>
      <c r="EW38" s="48"/>
      <c r="EX38" s="48"/>
      <c r="EY38" s="48"/>
      <c r="EZ38" s="48"/>
      <c r="FA38" s="48"/>
      <c r="FB38" s="48"/>
      <c r="FC38" s="48"/>
      <c r="FD38" s="48"/>
      <c r="FE38" s="48"/>
      <c r="FF38" s="48"/>
      <c r="FG38" s="48"/>
      <c r="FH38" s="48"/>
      <c r="FI38" s="48"/>
      <c r="FJ38" s="48"/>
      <c r="FK38" s="48"/>
      <c r="FL38" s="48"/>
      <c r="FM38" s="48"/>
      <c r="FN38" s="48"/>
    </row>
    <row r="39" spans="1:170" x14ac:dyDescent="0.3">
      <c r="L39" s="17"/>
      <c r="M39" s="17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</row>
    <row r="40" spans="1:170" x14ac:dyDescent="0.3">
      <c r="A40" s="49" t="s">
        <v>51</v>
      </c>
      <c r="E40" s="17">
        <v>3149484</v>
      </c>
      <c r="F40" s="17">
        <v>3158871</v>
      </c>
      <c r="G40" s="17">
        <v>3212638</v>
      </c>
      <c r="H40" s="17">
        <v>3049225</v>
      </c>
      <c r="I40" s="17">
        <v>2967786</v>
      </c>
      <c r="J40" s="17">
        <v>2645515</v>
      </c>
      <c r="K40" s="17">
        <v>2186276</v>
      </c>
      <c r="L40" s="17">
        <v>2275728</v>
      </c>
      <c r="M40" s="17">
        <f>L40+'Výpočty-odpisy'!L14</f>
        <v>2290128</v>
      </c>
      <c r="N40" s="17">
        <f>L40+'Výpočty-odpisy'!M14</f>
        <v>2529528</v>
      </c>
      <c r="O40" s="17">
        <f>L40+'Výpočty-odpisy'!N14</f>
        <v>2543928</v>
      </c>
      <c r="P40" s="17">
        <f>$L$40+'Výpočty-odpisy'!O14</f>
        <v>2636328</v>
      </c>
      <c r="Q40" s="17">
        <f>$L$40+'Výpočty-odpisy'!P14</f>
        <v>2275728</v>
      </c>
      <c r="R40" s="17">
        <f>$L$40+'Výpočty-odpisy'!Q14</f>
        <v>2275728</v>
      </c>
      <c r="S40" s="17">
        <f>$L$40+'Výpočty-odpisy'!R14</f>
        <v>2275728</v>
      </c>
      <c r="T40" s="17">
        <f>$L$40+'Výpočty-odpisy'!S14</f>
        <v>2275728</v>
      </c>
      <c r="U40" s="17">
        <f>$L$40+'Výpočty-odpisy'!T14</f>
        <v>2275728</v>
      </c>
      <c r="V40" s="17">
        <f>$L$40+'Výpočty-odpisy'!U14</f>
        <v>2275728</v>
      </c>
      <c r="W40" s="17">
        <f>$L$40+'Výpočty-odpisy'!V14</f>
        <v>2275728</v>
      </c>
      <c r="X40" s="17">
        <f>$L$40+'Výpočty-odpisy'!W14</f>
        <v>2275728</v>
      </c>
      <c r="Y40" s="17">
        <f>$L$40+'Výpočty-odpisy'!X14</f>
        <v>2275728</v>
      </c>
      <c r="Z40" s="17">
        <f>$L$40+'Výpočty-odpisy'!Y14</f>
        <v>2275728</v>
      </c>
      <c r="AA40" s="17">
        <f>$L$40+'Výpočty-odpisy'!Z14</f>
        <v>2275728</v>
      </c>
      <c r="AB40" s="17">
        <f>$L$40+'Výpočty-odpisy'!AA14</f>
        <v>2275728</v>
      </c>
      <c r="AC40" s="17">
        <f>$L$40+'Výpočty-odpisy'!AB14</f>
        <v>2275728</v>
      </c>
      <c r="AD40" s="17">
        <f>$L$40+'Výpočty-odpisy'!AC14</f>
        <v>2275728</v>
      </c>
      <c r="AE40" s="17">
        <f>$L$40+'Výpočty-odpisy'!AD14</f>
        <v>2275728</v>
      </c>
      <c r="AF40" s="17">
        <f>$L$40+'Výpočty-odpisy'!AE14</f>
        <v>2275728</v>
      </c>
      <c r="AG40" s="17">
        <f>$L$40+'Výpočty-odpisy'!AF14</f>
        <v>2275728</v>
      </c>
      <c r="AH40" s="17">
        <f>$L$40+'Výpočty-odpisy'!AG14</f>
        <v>2275728</v>
      </c>
      <c r="AI40" s="17">
        <f>$L$40+'Výpočty-odpisy'!AH14</f>
        <v>2275728</v>
      </c>
      <c r="AJ40" s="17">
        <f>$L$40+'Výpočty-odpisy'!AI14</f>
        <v>2275728</v>
      </c>
      <c r="AK40" s="17">
        <f>$L$40+'Výpočty-odpisy'!AJ14</f>
        <v>2275728</v>
      </c>
      <c r="AL40" s="17">
        <f>$L$40+'Výpočty-odpisy'!AK14</f>
        <v>2275728</v>
      </c>
      <c r="AM40" s="17">
        <f>$L$40+'Výpočty-odpisy'!AL14</f>
        <v>2275728</v>
      </c>
      <c r="AN40" s="17">
        <f>$L$40+'Výpočty-odpisy'!AM14</f>
        <v>2275728</v>
      </c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</row>
    <row r="41" spans="1:170" x14ac:dyDescent="0.3">
      <c r="L41" s="17"/>
      <c r="M41" s="17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</row>
    <row r="42" spans="1:170" s="46" customFormat="1" x14ac:dyDescent="0.3">
      <c r="A42" s="45" t="s">
        <v>52</v>
      </c>
      <c r="E42" s="47">
        <f t="shared" ref="E42:K42" si="22">E38-E40</f>
        <v>1310752</v>
      </c>
      <c r="F42" s="47">
        <f t="shared" si="22"/>
        <v>259026</v>
      </c>
      <c r="G42" s="47">
        <f t="shared" si="22"/>
        <v>1957</v>
      </c>
      <c r="H42" s="47">
        <f t="shared" si="22"/>
        <v>72107</v>
      </c>
      <c r="I42" s="47">
        <f t="shared" si="22"/>
        <v>-296204</v>
      </c>
      <c r="J42" s="47">
        <f t="shared" si="22"/>
        <v>-55028</v>
      </c>
      <c r="K42" s="47">
        <f t="shared" si="22"/>
        <v>354952.25999999791</v>
      </c>
      <c r="L42" s="47">
        <f>L38-L40</f>
        <v>59796</v>
      </c>
      <c r="M42" s="47">
        <f>M38-M40</f>
        <v>279192.13760000467</v>
      </c>
      <c r="N42" s="47">
        <f t="shared" ref="N42:AN42" si="23">N38-N40</f>
        <v>-1180472.190448001</v>
      </c>
      <c r="O42" s="47">
        <f t="shared" si="23"/>
        <v>-1484228.4257569611</v>
      </c>
      <c r="P42" s="47">
        <f t="shared" si="23"/>
        <v>-2872727.3589410931</v>
      </c>
      <c r="Q42" s="47">
        <f t="shared" si="23"/>
        <v>-2512127.3589410931</v>
      </c>
      <c r="R42" s="47">
        <f t="shared" si="23"/>
        <v>-2512127.3589410931</v>
      </c>
      <c r="S42" s="47">
        <f t="shared" si="23"/>
        <v>-2512127.3589410931</v>
      </c>
      <c r="T42" s="47">
        <f t="shared" si="23"/>
        <v>-2512127.3589410931</v>
      </c>
      <c r="U42" s="47">
        <f t="shared" si="23"/>
        <v>-2512127.3589410931</v>
      </c>
      <c r="V42" s="47">
        <f t="shared" si="23"/>
        <v>-2512127.3589410931</v>
      </c>
      <c r="W42" s="47">
        <f t="shared" si="23"/>
        <v>-2512127.3589410931</v>
      </c>
      <c r="X42" s="47">
        <f t="shared" si="23"/>
        <v>-2512127.3589410931</v>
      </c>
      <c r="Y42" s="47">
        <f t="shared" si="23"/>
        <v>-2512127.3589410931</v>
      </c>
      <c r="Z42" s="47">
        <f t="shared" si="23"/>
        <v>-2512127.3589410931</v>
      </c>
      <c r="AA42" s="47">
        <f t="shared" si="23"/>
        <v>-2512127.3589410931</v>
      </c>
      <c r="AB42" s="47">
        <f t="shared" si="23"/>
        <v>-2512127.3589410931</v>
      </c>
      <c r="AC42" s="47">
        <f t="shared" si="23"/>
        <v>-2512127.3589410931</v>
      </c>
      <c r="AD42" s="47">
        <f t="shared" si="23"/>
        <v>-2512127.3589410931</v>
      </c>
      <c r="AE42" s="47">
        <f t="shared" si="23"/>
        <v>-2512127.3589410931</v>
      </c>
      <c r="AF42" s="47">
        <f t="shared" si="23"/>
        <v>-2512127.3589410931</v>
      </c>
      <c r="AG42" s="47">
        <f t="shared" si="23"/>
        <v>-2512127.3589410931</v>
      </c>
      <c r="AH42" s="47">
        <f t="shared" si="23"/>
        <v>-2512127.3589410931</v>
      </c>
      <c r="AI42" s="47">
        <f t="shared" si="23"/>
        <v>-2512127.3589410931</v>
      </c>
      <c r="AJ42" s="47">
        <f t="shared" si="23"/>
        <v>-2512127.3589410931</v>
      </c>
      <c r="AK42" s="47">
        <f t="shared" si="23"/>
        <v>-2512127.3589410931</v>
      </c>
      <c r="AL42" s="47">
        <f t="shared" si="23"/>
        <v>-2512127.3589410931</v>
      </c>
      <c r="AM42" s="47">
        <f t="shared" si="23"/>
        <v>-2512127.3589410931</v>
      </c>
      <c r="AN42" s="47">
        <f t="shared" si="23"/>
        <v>-2512127.3589410931</v>
      </c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48"/>
      <c r="BL42" s="48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8"/>
      <c r="CA42" s="48"/>
      <c r="CB42" s="48"/>
      <c r="CC42" s="48"/>
      <c r="CD42" s="48"/>
      <c r="CE42" s="48"/>
      <c r="CF42" s="48"/>
      <c r="CG42" s="48"/>
      <c r="CH42" s="48"/>
      <c r="CI42" s="48"/>
      <c r="CJ42" s="48"/>
      <c r="CK42" s="48"/>
      <c r="CL42" s="48"/>
      <c r="CM42" s="48"/>
      <c r="CN42" s="48"/>
      <c r="CO42" s="48"/>
      <c r="CP42" s="48"/>
      <c r="CQ42" s="48"/>
      <c r="CR42" s="48"/>
      <c r="CS42" s="48"/>
      <c r="CT42" s="48"/>
      <c r="CU42" s="48"/>
      <c r="CV42" s="48"/>
      <c r="CW42" s="48"/>
      <c r="CX42" s="48"/>
      <c r="CY42" s="48"/>
      <c r="CZ42" s="48"/>
      <c r="DA42" s="48"/>
      <c r="DB42" s="48"/>
      <c r="DC42" s="48"/>
      <c r="DD42" s="48"/>
      <c r="DE42" s="48"/>
      <c r="DF42" s="48"/>
      <c r="DG42" s="48"/>
      <c r="DH42" s="48"/>
      <c r="DI42" s="48"/>
      <c r="DJ42" s="48"/>
      <c r="DK42" s="48"/>
      <c r="DL42" s="48"/>
      <c r="DM42" s="48"/>
      <c r="DN42" s="48"/>
      <c r="DO42" s="48"/>
      <c r="DP42" s="48"/>
      <c r="DQ42" s="48"/>
      <c r="DR42" s="48"/>
      <c r="DS42" s="48"/>
      <c r="DT42" s="48"/>
      <c r="DU42" s="48"/>
      <c r="DV42" s="48"/>
      <c r="DW42" s="48"/>
      <c r="DX42" s="48"/>
      <c r="DY42" s="48"/>
      <c r="DZ42" s="48"/>
      <c r="EA42" s="48"/>
      <c r="EB42" s="48"/>
      <c r="EC42" s="48"/>
      <c r="ED42" s="48"/>
      <c r="EE42" s="48"/>
      <c r="EF42" s="48"/>
      <c r="EG42" s="48"/>
      <c r="EH42" s="48"/>
      <c r="EI42" s="48"/>
      <c r="EJ42" s="48"/>
      <c r="EK42" s="48"/>
      <c r="EL42" s="48"/>
      <c r="EM42" s="48"/>
      <c r="EN42" s="48"/>
      <c r="EO42" s="48"/>
      <c r="EP42" s="48"/>
      <c r="EQ42" s="48"/>
      <c r="ER42" s="48"/>
      <c r="ES42" s="48"/>
      <c r="ET42" s="48"/>
      <c r="EU42" s="48"/>
      <c r="EV42" s="48"/>
      <c r="EW42" s="48"/>
      <c r="EX42" s="48"/>
      <c r="EY42" s="48"/>
      <c r="EZ42" s="48"/>
      <c r="FA42" s="48"/>
      <c r="FB42" s="48"/>
      <c r="FC42" s="48"/>
      <c r="FD42" s="48"/>
      <c r="FE42" s="48"/>
      <c r="FF42" s="48"/>
      <c r="FG42" s="48"/>
      <c r="FH42" s="48"/>
      <c r="FI42" s="48"/>
      <c r="FJ42" s="48"/>
      <c r="FK42" s="48"/>
      <c r="FL42" s="48"/>
      <c r="FM42" s="48"/>
      <c r="FN42" s="48"/>
    </row>
    <row r="43" spans="1:170" x14ac:dyDescent="0.3"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</row>
    <row r="44" spans="1:170" x14ac:dyDescent="0.3">
      <c r="A44" s="1" t="s">
        <v>53</v>
      </c>
      <c r="E44" s="17">
        <v>2682</v>
      </c>
      <c r="F44" s="17">
        <v>3460</v>
      </c>
      <c r="G44" s="17">
        <v>1226</v>
      </c>
      <c r="H44" s="17">
        <v>2185</v>
      </c>
      <c r="I44" s="17">
        <v>3</v>
      </c>
      <c r="J44" s="17">
        <v>27</v>
      </c>
      <c r="K44" s="17">
        <v>0</v>
      </c>
      <c r="L44" s="17">
        <v>0</v>
      </c>
      <c r="M44" s="17">
        <v>0</v>
      </c>
      <c r="N44" s="17">
        <v>0</v>
      </c>
      <c r="O44" s="17">
        <v>0</v>
      </c>
      <c r="P44" s="17">
        <v>0</v>
      </c>
      <c r="Q44" s="17">
        <v>0</v>
      </c>
      <c r="R44" s="17">
        <v>0</v>
      </c>
      <c r="S44" s="17">
        <v>0</v>
      </c>
      <c r="T44" s="17">
        <v>0</v>
      </c>
      <c r="U44" s="17">
        <v>0</v>
      </c>
      <c r="V44" s="17">
        <v>0</v>
      </c>
      <c r="W44" s="17">
        <v>0</v>
      </c>
      <c r="X44" s="17">
        <v>0</v>
      </c>
      <c r="Y44" s="17">
        <v>0</v>
      </c>
      <c r="Z44" s="17">
        <v>0</v>
      </c>
      <c r="AA44" s="17">
        <v>0</v>
      </c>
      <c r="AB44" s="17">
        <v>0</v>
      </c>
      <c r="AC44" s="17">
        <v>0</v>
      </c>
      <c r="AD44" s="17">
        <v>0</v>
      </c>
      <c r="AE44" s="17">
        <v>0</v>
      </c>
      <c r="AF44" s="17">
        <v>0</v>
      </c>
      <c r="AG44" s="17">
        <v>0</v>
      </c>
      <c r="AH44" s="17">
        <v>0</v>
      </c>
      <c r="AI44" s="17">
        <v>0</v>
      </c>
      <c r="AJ44" s="17">
        <v>0</v>
      </c>
      <c r="AK44" s="17">
        <v>0</v>
      </c>
      <c r="AL44" s="17">
        <v>0</v>
      </c>
      <c r="AM44" s="17">
        <v>0</v>
      </c>
      <c r="AN44" s="17">
        <v>0</v>
      </c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</row>
    <row r="45" spans="1:170" x14ac:dyDescent="0.3">
      <c r="A45" s="1" t="s">
        <v>54</v>
      </c>
      <c r="E45" s="17">
        <v>282022</v>
      </c>
      <c r="F45" s="17">
        <v>-1082</v>
      </c>
      <c r="G45" s="17">
        <v>-7545</v>
      </c>
      <c r="H45" s="17">
        <v>7083</v>
      </c>
      <c r="I45" s="17">
        <v>-5088</v>
      </c>
      <c r="J45" s="17">
        <v>-49390</v>
      </c>
      <c r="K45" s="17">
        <v>34006</v>
      </c>
      <c r="L45" s="17">
        <f>L42*0.13</f>
        <v>7773.4800000000005</v>
      </c>
      <c r="M45" s="17">
        <f t="shared" ref="M45:AN45" si="24">M42*0.13</f>
        <v>36294.977888000605</v>
      </c>
      <c r="N45" s="17">
        <f t="shared" si="24"/>
        <v>-153461.38475824014</v>
      </c>
      <c r="O45" s="17">
        <f t="shared" si="24"/>
        <v>-192949.69534840496</v>
      </c>
      <c r="P45" s="17">
        <f t="shared" si="24"/>
        <v>-373454.5566623421</v>
      </c>
      <c r="Q45" s="17">
        <f t="shared" si="24"/>
        <v>-326576.5566623421</v>
      </c>
      <c r="R45" s="17">
        <f t="shared" si="24"/>
        <v>-326576.5566623421</v>
      </c>
      <c r="S45" s="17">
        <f t="shared" si="24"/>
        <v>-326576.5566623421</v>
      </c>
      <c r="T45" s="17">
        <f t="shared" si="24"/>
        <v>-326576.5566623421</v>
      </c>
      <c r="U45" s="17">
        <f t="shared" si="24"/>
        <v>-326576.5566623421</v>
      </c>
      <c r="V45" s="17">
        <f t="shared" si="24"/>
        <v>-326576.5566623421</v>
      </c>
      <c r="W45" s="17">
        <f t="shared" si="24"/>
        <v>-326576.5566623421</v>
      </c>
      <c r="X45" s="17">
        <f t="shared" si="24"/>
        <v>-326576.5566623421</v>
      </c>
      <c r="Y45" s="17">
        <f t="shared" si="24"/>
        <v>-326576.5566623421</v>
      </c>
      <c r="Z45" s="17">
        <f t="shared" si="24"/>
        <v>-326576.5566623421</v>
      </c>
      <c r="AA45" s="17">
        <f t="shared" si="24"/>
        <v>-326576.5566623421</v>
      </c>
      <c r="AB45" s="17">
        <f t="shared" si="24"/>
        <v>-326576.5566623421</v>
      </c>
      <c r="AC45" s="17">
        <f t="shared" si="24"/>
        <v>-326576.5566623421</v>
      </c>
      <c r="AD45" s="17">
        <f t="shared" si="24"/>
        <v>-326576.5566623421</v>
      </c>
      <c r="AE45" s="17">
        <f t="shared" si="24"/>
        <v>-326576.5566623421</v>
      </c>
      <c r="AF45" s="17">
        <f t="shared" si="24"/>
        <v>-326576.5566623421</v>
      </c>
      <c r="AG45" s="17">
        <f t="shared" si="24"/>
        <v>-326576.5566623421</v>
      </c>
      <c r="AH45" s="17">
        <f t="shared" si="24"/>
        <v>-326576.5566623421</v>
      </c>
      <c r="AI45" s="17">
        <f t="shared" si="24"/>
        <v>-326576.5566623421</v>
      </c>
      <c r="AJ45" s="17">
        <f t="shared" si="24"/>
        <v>-326576.5566623421</v>
      </c>
      <c r="AK45" s="17">
        <f t="shared" si="24"/>
        <v>-326576.5566623421</v>
      </c>
      <c r="AL45" s="17">
        <f t="shared" si="24"/>
        <v>-326576.5566623421</v>
      </c>
      <c r="AM45" s="17">
        <f t="shared" si="24"/>
        <v>-326576.5566623421</v>
      </c>
      <c r="AN45" s="17">
        <f t="shared" si="24"/>
        <v>-326576.5566623421</v>
      </c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</row>
    <row r="46" spans="1:170" x14ac:dyDescent="0.3"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</row>
    <row r="47" spans="1:170" s="232" customFormat="1" x14ac:dyDescent="0.3">
      <c r="A47" s="231" t="s">
        <v>55</v>
      </c>
      <c r="E47" s="233">
        <f t="shared" ref="E47:AN47" si="25">E42+E44-E45</f>
        <v>1031412</v>
      </c>
      <c r="F47" s="233">
        <f t="shared" si="25"/>
        <v>263568</v>
      </c>
      <c r="G47" s="233">
        <f t="shared" si="25"/>
        <v>10728</v>
      </c>
      <c r="H47" s="233">
        <f t="shared" si="25"/>
        <v>67209</v>
      </c>
      <c r="I47" s="233">
        <f t="shared" si="25"/>
        <v>-291113</v>
      </c>
      <c r="J47" s="233">
        <f t="shared" si="25"/>
        <v>-5611</v>
      </c>
      <c r="K47" s="233">
        <f t="shared" si="25"/>
        <v>320946.25999999791</v>
      </c>
      <c r="L47" s="233">
        <f t="shared" si="25"/>
        <v>52022.52</v>
      </c>
      <c r="M47" s="233">
        <f t="shared" si="25"/>
        <v>242897.15971200407</v>
      </c>
      <c r="N47" s="233">
        <f t="shared" si="25"/>
        <v>-1027010.8056897609</v>
      </c>
      <c r="O47" s="233">
        <f t="shared" si="25"/>
        <v>-1291278.7304085561</v>
      </c>
      <c r="P47" s="233">
        <f t="shared" si="25"/>
        <v>-2499272.802278751</v>
      </c>
      <c r="Q47" s="233">
        <f t="shared" si="25"/>
        <v>-2185550.802278751</v>
      </c>
      <c r="R47" s="233">
        <f t="shared" si="25"/>
        <v>-2185550.802278751</v>
      </c>
      <c r="S47" s="233">
        <f t="shared" si="25"/>
        <v>-2185550.802278751</v>
      </c>
      <c r="T47" s="233">
        <f t="shared" si="25"/>
        <v>-2185550.802278751</v>
      </c>
      <c r="U47" s="233">
        <f t="shared" si="25"/>
        <v>-2185550.802278751</v>
      </c>
      <c r="V47" s="233">
        <f t="shared" si="25"/>
        <v>-2185550.802278751</v>
      </c>
      <c r="W47" s="233">
        <f t="shared" si="25"/>
        <v>-2185550.802278751</v>
      </c>
      <c r="X47" s="233">
        <f t="shared" si="25"/>
        <v>-2185550.802278751</v>
      </c>
      <c r="Y47" s="233">
        <f t="shared" si="25"/>
        <v>-2185550.802278751</v>
      </c>
      <c r="Z47" s="233">
        <f t="shared" si="25"/>
        <v>-2185550.802278751</v>
      </c>
      <c r="AA47" s="233">
        <f t="shared" si="25"/>
        <v>-2185550.802278751</v>
      </c>
      <c r="AB47" s="233">
        <f t="shared" si="25"/>
        <v>-2185550.802278751</v>
      </c>
      <c r="AC47" s="233">
        <f t="shared" si="25"/>
        <v>-2185550.802278751</v>
      </c>
      <c r="AD47" s="233">
        <f t="shared" si="25"/>
        <v>-2185550.802278751</v>
      </c>
      <c r="AE47" s="233">
        <f t="shared" si="25"/>
        <v>-2185550.802278751</v>
      </c>
      <c r="AF47" s="233">
        <f t="shared" si="25"/>
        <v>-2185550.802278751</v>
      </c>
      <c r="AG47" s="233">
        <f t="shared" si="25"/>
        <v>-2185550.802278751</v>
      </c>
      <c r="AH47" s="233">
        <f t="shared" si="25"/>
        <v>-2185550.802278751</v>
      </c>
      <c r="AI47" s="233">
        <f t="shared" si="25"/>
        <v>-2185550.802278751</v>
      </c>
      <c r="AJ47" s="233">
        <f t="shared" si="25"/>
        <v>-2185550.802278751</v>
      </c>
      <c r="AK47" s="233">
        <f t="shared" si="25"/>
        <v>-2185550.802278751</v>
      </c>
      <c r="AL47" s="233">
        <f t="shared" si="25"/>
        <v>-2185550.802278751</v>
      </c>
      <c r="AM47" s="233">
        <f t="shared" si="25"/>
        <v>-2185550.802278751</v>
      </c>
      <c r="AN47" s="233">
        <f t="shared" si="25"/>
        <v>-2185550.802278751</v>
      </c>
      <c r="AO47" s="210"/>
      <c r="AP47" s="210"/>
      <c r="AQ47" s="210"/>
      <c r="AR47" s="210"/>
      <c r="AS47" s="210"/>
      <c r="AT47" s="210"/>
      <c r="AU47" s="210"/>
      <c r="AV47" s="210"/>
      <c r="AW47" s="210"/>
      <c r="AX47" s="210"/>
      <c r="AY47" s="210"/>
      <c r="AZ47" s="210"/>
      <c r="BA47" s="210"/>
      <c r="BB47" s="211"/>
      <c r="BC47" s="211"/>
      <c r="BD47" s="211"/>
      <c r="BE47" s="211"/>
      <c r="BF47" s="211"/>
      <c r="BG47" s="211"/>
      <c r="BH47" s="211"/>
      <c r="BI47" s="211"/>
      <c r="BJ47" s="211"/>
      <c r="BK47" s="211"/>
      <c r="BL47" s="211"/>
      <c r="BM47" s="211"/>
      <c r="BN47" s="211"/>
      <c r="BO47" s="211"/>
      <c r="BP47" s="211"/>
      <c r="BQ47" s="211"/>
      <c r="BR47" s="211"/>
      <c r="BS47" s="211"/>
      <c r="BT47" s="211"/>
      <c r="BU47" s="211"/>
      <c r="BV47" s="211"/>
      <c r="BW47" s="211"/>
      <c r="BX47" s="211"/>
      <c r="BY47" s="211"/>
      <c r="BZ47" s="211"/>
      <c r="CA47" s="211"/>
      <c r="CB47" s="211"/>
      <c r="CC47" s="211"/>
      <c r="CD47" s="211"/>
      <c r="CE47" s="211"/>
      <c r="CF47" s="211"/>
      <c r="CG47" s="211"/>
      <c r="CH47" s="211"/>
      <c r="CI47" s="211"/>
      <c r="CJ47" s="211"/>
      <c r="CK47" s="211"/>
      <c r="CL47" s="211"/>
      <c r="CM47" s="211"/>
      <c r="CN47" s="211"/>
      <c r="CO47" s="211"/>
      <c r="CP47" s="211"/>
      <c r="CQ47" s="211"/>
      <c r="CR47" s="211"/>
      <c r="CS47" s="211"/>
      <c r="CT47" s="211"/>
      <c r="CU47" s="211"/>
      <c r="CV47" s="211"/>
      <c r="CW47" s="211"/>
      <c r="CX47" s="211"/>
      <c r="CY47" s="211"/>
      <c r="CZ47" s="211"/>
      <c r="DA47" s="211"/>
      <c r="DB47" s="211"/>
      <c r="DC47" s="211"/>
      <c r="DD47" s="211"/>
      <c r="DE47" s="211"/>
      <c r="DF47" s="211"/>
    </row>
    <row r="48" spans="1:170" s="20" customFormat="1" ht="13" x14ac:dyDescent="0.3">
      <c r="A48" s="77" t="s">
        <v>56</v>
      </c>
      <c r="E48" s="78">
        <f t="shared" ref="E48:AN48" si="26">E38/E6</f>
        <v>0.1139048675001508</v>
      </c>
      <c r="F48" s="78">
        <f t="shared" si="26"/>
        <v>8.1492195194328626E-2</v>
      </c>
      <c r="G48" s="78">
        <f t="shared" si="26"/>
        <v>7.5697688591290807E-2</v>
      </c>
      <c r="H48" s="78">
        <f t="shared" si="26"/>
        <v>7.0774526547011718E-2</v>
      </c>
      <c r="I48" s="78">
        <f t="shared" si="26"/>
        <v>5.4075402256321278E-2</v>
      </c>
      <c r="J48" s="78">
        <f t="shared" si="26"/>
        <v>5.2024010250538689E-2</v>
      </c>
      <c r="K48" s="78">
        <f t="shared" si="26"/>
        <v>4.5163163888638065E-2</v>
      </c>
      <c r="L48" s="78">
        <f t="shared" si="26"/>
        <v>4.0173351001513674E-2</v>
      </c>
      <c r="M48" s="78">
        <f t="shared" si="26"/>
        <v>3.2861517086160343E-2</v>
      </c>
      <c r="N48" s="78">
        <f t="shared" si="26"/>
        <v>1.7083542450410046E-2</v>
      </c>
      <c r="O48" s="78">
        <f t="shared" si="26"/>
        <v>1.3286463559048313E-2</v>
      </c>
      <c r="P48" s="78">
        <f t="shared" si="26"/>
        <v>-2.9346178956696622E-3</v>
      </c>
      <c r="Q48" s="78">
        <f t="shared" si="26"/>
        <v>-2.9346178956696622E-3</v>
      </c>
      <c r="R48" s="78">
        <f t="shared" si="26"/>
        <v>-2.9346178956696622E-3</v>
      </c>
      <c r="S48" s="78">
        <f t="shared" si="26"/>
        <v>-2.9346178956696622E-3</v>
      </c>
      <c r="T48" s="78">
        <f t="shared" si="26"/>
        <v>-2.9346178956696622E-3</v>
      </c>
      <c r="U48" s="78">
        <f t="shared" si="26"/>
        <v>-2.9346178956696622E-3</v>
      </c>
      <c r="V48" s="78">
        <f t="shared" si="26"/>
        <v>-2.9346178956696622E-3</v>
      </c>
      <c r="W48" s="78">
        <f t="shared" si="26"/>
        <v>-2.9346178956696622E-3</v>
      </c>
      <c r="X48" s="78">
        <f t="shared" si="26"/>
        <v>-2.9346178956696622E-3</v>
      </c>
      <c r="Y48" s="78">
        <f t="shared" si="26"/>
        <v>-2.9346178956696622E-3</v>
      </c>
      <c r="Z48" s="78">
        <f t="shared" si="26"/>
        <v>-2.9346178956696622E-3</v>
      </c>
      <c r="AA48" s="78">
        <f t="shared" si="26"/>
        <v>-2.9346178956696622E-3</v>
      </c>
      <c r="AB48" s="78">
        <f t="shared" si="26"/>
        <v>-2.9346178956696622E-3</v>
      </c>
      <c r="AC48" s="78">
        <f t="shared" si="26"/>
        <v>-2.9346178956696622E-3</v>
      </c>
      <c r="AD48" s="78">
        <f t="shared" si="26"/>
        <v>-2.9346178956696622E-3</v>
      </c>
      <c r="AE48" s="78">
        <f t="shared" si="26"/>
        <v>-2.9346178956696622E-3</v>
      </c>
      <c r="AF48" s="78">
        <f t="shared" si="26"/>
        <v>-2.9346178956696622E-3</v>
      </c>
      <c r="AG48" s="78">
        <f t="shared" si="26"/>
        <v>-2.9346178956696622E-3</v>
      </c>
      <c r="AH48" s="78">
        <f t="shared" si="26"/>
        <v>-2.9346178956696622E-3</v>
      </c>
      <c r="AI48" s="78">
        <f t="shared" si="26"/>
        <v>-2.9346178956696622E-3</v>
      </c>
      <c r="AJ48" s="78">
        <f t="shared" si="26"/>
        <v>-2.9346178956696622E-3</v>
      </c>
      <c r="AK48" s="78">
        <f t="shared" si="26"/>
        <v>-2.9346178956696622E-3</v>
      </c>
      <c r="AL48" s="78">
        <f t="shared" si="26"/>
        <v>-2.9346178956696622E-3</v>
      </c>
      <c r="AM48" s="78">
        <f t="shared" si="26"/>
        <v>-2.9346178956696622E-3</v>
      </c>
      <c r="AN48" s="78">
        <f t="shared" si="26"/>
        <v>-2.9346178956696622E-3</v>
      </c>
      <c r="AO48" s="79"/>
      <c r="AP48" s="79"/>
      <c r="AQ48" s="79"/>
      <c r="AR48" s="79"/>
      <c r="AS48" s="79"/>
      <c r="AT48" s="79"/>
      <c r="AU48" s="79"/>
      <c r="AV48" s="79"/>
      <c r="AW48" s="79"/>
      <c r="AX48" s="79"/>
      <c r="AY48" s="79"/>
      <c r="AZ48" s="79"/>
      <c r="BA48" s="79"/>
      <c r="BB48" s="79"/>
      <c r="BC48" s="79"/>
      <c r="BD48" s="79"/>
      <c r="BE48" s="79"/>
      <c r="BF48" s="79"/>
      <c r="BG48" s="79"/>
      <c r="BH48" s="79"/>
      <c r="BI48" s="79"/>
      <c r="BJ48" s="79"/>
      <c r="BK48" s="79"/>
      <c r="BL48" s="79"/>
      <c r="BM48" s="79"/>
      <c r="BN48" s="79"/>
      <c r="BO48" s="79"/>
      <c r="BP48" s="79"/>
      <c r="BQ48" s="79"/>
      <c r="BR48" s="79"/>
      <c r="BS48" s="79"/>
      <c r="BT48" s="79"/>
      <c r="BU48" s="79"/>
      <c r="BV48" s="79"/>
      <c r="BW48" s="79"/>
      <c r="BX48" s="79"/>
      <c r="BY48" s="79"/>
      <c r="BZ48" s="79"/>
      <c r="CA48" s="79"/>
      <c r="CB48" s="79"/>
      <c r="CC48" s="79"/>
      <c r="CD48" s="79"/>
      <c r="CE48" s="79"/>
      <c r="CF48" s="79"/>
      <c r="CG48" s="79"/>
      <c r="CH48" s="79"/>
      <c r="CI48" s="79"/>
      <c r="CJ48" s="79"/>
      <c r="CK48" s="79"/>
      <c r="CL48" s="79"/>
      <c r="CM48" s="79"/>
      <c r="CN48" s="79"/>
      <c r="CO48" s="79"/>
      <c r="CP48" s="79"/>
      <c r="CQ48" s="79"/>
      <c r="CR48" s="79"/>
      <c r="CS48" s="79"/>
      <c r="CT48" s="79"/>
      <c r="CU48" s="79"/>
      <c r="CV48" s="79"/>
      <c r="CW48" s="79"/>
      <c r="CX48" s="79"/>
      <c r="CY48" s="79"/>
      <c r="CZ48" s="79"/>
      <c r="DA48" s="79"/>
      <c r="DB48" s="79"/>
      <c r="DC48" s="79"/>
      <c r="DD48" s="79"/>
      <c r="DE48" s="79"/>
      <c r="DF48" s="79"/>
      <c r="DG48" s="79"/>
      <c r="DH48" s="79"/>
      <c r="DI48" s="79"/>
      <c r="DJ48" s="79"/>
      <c r="DK48" s="79"/>
      <c r="DL48" s="79"/>
      <c r="DM48" s="79"/>
      <c r="DN48" s="79"/>
      <c r="DO48" s="79"/>
      <c r="DP48" s="79"/>
      <c r="DQ48" s="79"/>
      <c r="DR48" s="79"/>
      <c r="DS48" s="79"/>
      <c r="DT48" s="79"/>
      <c r="DU48" s="79"/>
      <c r="DV48" s="79"/>
      <c r="DW48" s="79"/>
      <c r="DX48" s="79"/>
      <c r="DY48" s="79"/>
      <c r="DZ48" s="79"/>
      <c r="EA48" s="79"/>
      <c r="EB48" s="79"/>
      <c r="EC48" s="79"/>
      <c r="ED48" s="79"/>
      <c r="EE48" s="79"/>
      <c r="EF48" s="79"/>
      <c r="EG48" s="79"/>
      <c r="EH48" s="79"/>
      <c r="EI48" s="79"/>
      <c r="EJ48" s="79"/>
      <c r="EK48" s="79"/>
      <c r="EL48" s="79"/>
      <c r="EM48" s="79"/>
      <c r="EN48" s="79"/>
      <c r="EO48" s="79"/>
      <c r="EP48" s="79"/>
      <c r="EQ48" s="79"/>
      <c r="ER48" s="79"/>
      <c r="ES48" s="79"/>
      <c r="ET48" s="79"/>
      <c r="EU48" s="79"/>
      <c r="EV48" s="79"/>
      <c r="EW48" s="79"/>
      <c r="EX48" s="79"/>
      <c r="EY48" s="79"/>
      <c r="EZ48" s="79"/>
      <c r="FA48" s="79"/>
      <c r="FB48" s="79"/>
      <c r="FC48" s="79"/>
      <c r="FD48" s="79"/>
      <c r="FE48" s="79"/>
      <c r="FF48" s="79"/>
      <c r="FG48" s="79"/>
      <c r="FH48" s="79"/>
      <c r="FI48" s="79"/>
      <c r="FJ48" s="79"/>
      <c r="FK48" s="79"/>
      <c r="FL48" s="79"/>
      <c r="FM48" s="79"/>
      <c r="FN48" s="79"/>
    </row>
    <row r="49" spans="1:170" x14ac:dyDescent="0.3">
      <c r="E49" s="17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</row>
    <row r="50" spans="1:170" s="3" customFormat="1" x14ac:dyDescent="0.3">
      <c r="A50" s="39" t="s">
        <v>57</v>
      </c>
      <c r="B50" s="39"/>
      <c r="C50" s="39"/>
      <c r="D50" s="39"/>
      <c r="E50" s="17">
        <f>E40</f>
        <v>3149484</v>
      </c>
      <c r="F50" s="17">
        <f t="shared" ref="F50:AN50" si="27">F40</f>
        <v>3158871</v>
      </c>
      <c r="G50" s="17">
        <f t="shared" si="27"/>
        <v>3212638</v>
      </c>
      <c r="H50" s="17">
        <f t="shared" si="27"/>
        <v>3049225</v>
      </c>
      <c r="I50" s="17">
        <f t="shared" si="27"/>
        <v>2967786</v>
      </c>
      <c r="J50" s="17">
        <f t="shared" si="27"/>
        <v>2645515</v>
      </c>
      <c r="K50" s="17">
        <f t="shared" si="27"/>
        <v>2186276</v>
      </c>
      <c r="L50" s="17">
        <f t="shared" si="27"/>
        <v>2275728</v>
      </c>
      <c r="M50" s="17">
        <f t="shared" si="27"/>
        <v>2290128</v>
      </c>
      <c r="N50" s="17">
        <f t="shared" si="27"/>
        <v>2529528</v>
      </c>
      <c r="O50" s="17">
        <f t="shared" si="27"/>
        <v>2543928</v>
      </c>
      <c r="P50" s="17">
        <f t="shared" si="27"/>
        <v>2636328</v>
      </c>
      <c r="Q50" s="17">
        <f t="shared" si="27"/>
        <v>2275728</v>
      </c>
      <c r="R50" s="17">
        <f t="shared" si="27"/>
        <v>2275728</v>
      </c>
      <c r="S50" s="17">
        <f t="shared" si="27"/>
        <v>2275728</v>
      </c>
      <c r="T50" s="17">
        <f t="shared" si="27"/>
        <v>2275728</v>
      </c>
      <c r="U50" s="17">
        <f t="shared" si="27"/>
        <v>2275728</v>
      </c>
      <c r="V50" s="17">
        <f t="shared" si="27"/>
        <v>2275728</v>
      </c>
      <c r="W50" s="17">
        <f t="shared" si="27"/>
        <v>2275728</v>
      </c>
      <c r="X50" s="17">
        <f t="shared" si="27"/>
        <v>2275728</v>
      </c>
      <c r="Y50" s="17">
        <f t="shared" si="27"/>
        <v>2275728</v>
      </c>
      <c r="Z50" s="17">
        <f t="shared" si="27"/>
        <v>2275728</v>
      </c>
      <c r="AA50" s="17">
        <f t="shared" si="27"/>
        <v>2275728</v>
      </c>
      <c r="AB50" s="17">
        <f t="shared" si="27"/>
        <v>2275728</v>
      </c>
      <c r="AC50" s="17">
        <f t="shared" si="27"/>
        <v>2275728</v>
      </c>
      <c r="AD50" s="17">
        <f t="shared" si="27"/>
        <v>2275728</v>
      </c>
      <c r="AE50" s="17">
        <f t="shared" si="27"/>
        <v>2275728</v>
      </c>
      <c r="AF50" s="17">
        <f t="shared" si="27"/>
        <v>2275728</v>
      </c>
      <c r="AG50" s="17">
        <f t="shared" si="27"/>
        <v>2275728</v>
      </c>
      <c r="AH50" s="17">
        <f t="shared" si="27"/>
        <v>2275728</v>
      </c>
      <c r="AI50" s="17">
        <f t="shared" si="27"/>
        <v>2275728</v>
      </c>
      <c r="AJ50" s="17">
        <f t="shared" si="27"/>
        <v>2275728</v>
      </c>
      <c r="AK50" s="17">
        <f t="shared" si="27"/>
        <v>2275728</v>
      </c>
      <c r="AL50" s="17">
        <f t="shared" si="27"/>
        <v>2275728</v>
      </c>
      <c r="AM50" s="17">
        <f t="shared" si="27"/>
        <v>2275728</v>
      </c>
      <c r="AN50" s="17">
        <f t="shared" si="27"/>
        <v>2275728</v>
      </c>
      <c r="AO50" s="39"/>
      <c r="AP50" s="39"/>
      <c r="AQ50" s="39"/>
      <c r="AR50" s="39"/>
      <c r="AS50" s="39"/>
      <c r="AT50" s="39"/>
    </row>
    <row r="51" spans="1:170" x14ac:dyDescent="0.3">
      <c r="A51" s="1" t="s">
        <v>58</v>
      </c>
      <c r="E51" s="17">
        <v>889852</v>
      </c>
      <c r="F51" s="17">
        <v>1439702</v>
      </c>
      <c r="G51" s="17">
        <v>1528366</v>
      </c>
      <c r="H51" s="17">
        <v>629312</v>
      </c>
      <c r="I51" s="17">
        <v>482283</v>
      </c>
      <c r="J51" s="17">
        <v>1191600</v>
      </c>
      <c r="K51" s="17">
        <v>2630982</v>
      </c>
      <c r="L51" s="17">
        <v>993903</v>
      </c>
      <c r="M51" s="17">
        <f>L51*1.01</f>
        <v>1003842.03</v>
      </c>
      <c r="N51" s="17">
        <f t="shared" ref="N51:P52" si="28">M51*1.01</f>
        <v>1013880.4503</v>
      </c>
      <c r="O51" s="17">
        <f t="shared" si="28"/>
        <v>1024019.254803</v>
      </c>
      <c r="P51" s="17">
        <f t="shared" si="28"/>
        <v>1034259.4473510301</v>
      </c>
      <c r="Q51" s="17">
        <f>P51</f>
        <v>1034259.4473510301</v>
      </c>
      <c r="R51" s="17">
        <f t="shared" ref="R51:AN51" si="29">Q51</f>
        <v>1034259.4473510301</v>
      </c>
      <c r="S51" s="17">
        <f t="shared" si="29"/>
        <v>1034259.4473510301</v>
      </c>
      <c r="T51" s="17">
        <f t="shared" si="29"/>
        <v>1034259.4473510301</v>
      </c>
      <c r="U51" s="17">
        <f t="shared" si="29"/>
        <v>1034259.4473510301</v>
      </c>
      <c r="V51" s="17">
        <f t="shared" si="29"/>
        <v>1034259.4473510301</v>
      </c>
      <c r="W51" s="17">
        <f t="shared" si="29"/>
        <v>1034259.4473510301</v>
      </c>
      <c r="X51" s="17">
        <f t="shared" si="29"/>
        <v>1034259.4473510301</v>
      </c>
      <c r="Y51" s="17">
        <f t="shared" si="29"/>
        <v>1034259.4473510301</v>
      </c>
      <c r="Z51" s="17">
        <f t="shared" si="29"/>
        <v>1034259.4473510301</v>
      </c>
      <c r="AA51" s="17">
        <f t="shared" si="29"/>
        <v>1034259.4473510301</v>
      </c>
      <c r="AB51" s="17">
        <f t="shared" si="29"/>
        <v>1034259.4473510301</v>
      </c>
      <c r="AC51" s="17">
        <f t="shared" si="29"/>
        <v>1034259.4473510301</v>
      </c>
      <c r="AD51" s="17">
        <f t="shared" si="29"/>
        <v>1034259.4473510301</v>
      </c>
      <c r="AE51" s="17">
        <f t="shared" si="29"/>
        <v>1034259.4473510301</v>
      </c>
      <c r="AF51" s="17">
        <f t="shared" si="29"/>
        <v>1034259.4473510301</v>
      </c>
      <c r="AG51" s="17">
        <f t="shared" si="29"/>
        <v>1034259.4473510301</v>
      </c>
      <c r="AH51" s="17">
        <f t="shared" si="29"/>
        <v>1034259.4473510301</v>
      </c>
      <c r="AI51" s="17">
        <f t="shared" si="29"/>
        <v>1034259.4473510301</v>
      </c>
      <c r="AJ51" s="17">
        <f t="shared" si="29"/>
        <v>1034259.4473510301</v>
      </c>
      <c r="AK51" s="17">
        <f t="shared" si="29"/>
        <v>1034259.4473510301</v>
      </c>
      <c r="AL51" s="17">
        <f t="shared" si="29"/>
        <v>1034259.4473510301</v>
      </c>
      <c r="AM51" s="17">
        <f t="shared" si="29"/>
        <v>1034259.4473510301</v>
      </c>
      <c r="AN51" s="17">
        <f t="shared" si="29"/>
        <v>1034259.4473510301</v>
      </c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</row>
    <row r="52" spans="1:170" s="17" customFormat="1" x14ac:dyDescent="0.3">
      <c r="A52" s="17" t="s">
        <v>59</v>
      </c>
      <c r="B52" s="52"/>
      <c r="C52" s="52"/>
      <c r="E52" s="17">
        <v>1088648</v>
      </c>
      <c r="F52" s="17">
        <v>481238</v>
      </c>
      <c r="G52" s="17">
        <v>1179429</v>
      </c>
      <c r="H52" s="17">
        <v>287516</v>
      </c>
      <c r="I52" s="17">
        <v>1267483</v>
      </c>
      <c r="J52" s="17">
        <v>916989</v>
      </c>
      <c r="K52" s="17">
        <v>3401000</v>
      </c>
      <c r="L52" s="17">
        <v>860863</v>
      </c>
      <c r="M52" s="17">
        <f>L52*1.01</f>
        <v>869471.63</v>
      </c>
      <c r="N52" s="17">
        <f t="shared" si="28"/>
        <v>878166.34629999998</v>
      </c>
      <c r="O52" s="17">
        <f t="shared" si="28"/>
        <v>886948.00976299995</v>
      </c>
      <c r="P52" s="17">
        <f t="shared" si="28"/>
        <v>895817.48986063001</v>
      </c>
      <c r="Q52" s="17">
        <f>P52</f>
        <v>895817.48986063001</v>
      </c>
      <c r="R52" s="17">
        <f t="shared" ref="R52:AN52" si="30">Q52</f>
        <v>895817.48986063001</v>
      </c>
      <c r="S52" s="17">
        <f t="shared" si="30"/>
        <v>895817.48986063001</v>
      </c>
      <c r="T52" s="17">
        <f t="shared" si="30"/>
        <v>895817.48986063001</v>
      </c>
      <c r="U52" s="17">
        <f t="shared" si="30"/>
        <v>895817.48986063001</v>
      </c>
      <c r="V52" s="17">
        <f t="shared" si="30"/>
        <v>895817.48986063001</v>
      </c>
      <c r="W52" s="17">
        <f t="shared" si="30"/>
        <v>895817.48986063001</v>
      </c>
      <c r="X52" s="17">
        <f t="shared" si="30"/>
        <v>895817.48986063001</v>
      </c>
      <c r="Y52" s="17">
        <f t="shared" si="30"/>
        <v>895817.48986063001</v>
      </c>
      <c r="Z52" s="17">
        <f t="shared" si="30"/>
        <v>895817.48986063001</v>
      </c>
      <c r="AA52" s="17">
        <f t="shared" si="30"/>
        <v>895817.48986063001</v>
      </c>
      <c r="AB52" s="17">
        <f t="shared" si="30"/>
        <v>895817.48986063001</v>
      </c>
      <c r="AC52" s="17">
        <f t="shared" si="30"/>
        <v>895817.48986063001</v>
      </c>
      <c r="AD52" s="17">
        <f t="shared" si="30"/>
        <v>895817.48986063001</v>
      </c>
      <c r="AE52" s="17">
        <f t="shared" si="30"/>
        <v>895817.48986063001</v>
      </c>
      <c r="AF52" s="17">
        <f t="shared" si="30"/>
        <v>895817.48986063001</v>
      </c>
      <c r="AG52" s="17">
        <f t="shared" si="30"/>
        <v>895817.48986063001</v>
      </c>
      <c r="AH52" s="17">
        <f t="shared" si="30"/>
        <v>895817.48986063001</v>
      </c>
      <c r="AI52" s="17">
        <f t="shared" si="30"/>
        <v>895817.48986063001</v>
      </c>
      <c r="AJ52" s="17">
        <f t="shared" si="30"/>
        <v>895817.48986063001</v>
      </c>
      <c r="AK52" s="17">
        <f t="shared" si="30"/>
        <v>895817.48986063001</v>
      </c>
      <c r="AL52" s="17">
        <f t="shared" si="30"/>
        <v>895817.48986063001</v>
      </c>
      <c r="AM52" s="17">
        <f t="shared" si="30"/>
        <v>895817.48986063001</v>
      </c>
      <c r="AN52" s="17">
        <f t="shared" si="30"/>
        <v>895817.48986063001</v>
      </c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9"/>
      <c r="BL52" s="39"/>
      <c r="BM52" s="39"/>
      <c r="BN52" s="39"/>
      <c r="BO52" s="39"/>
      <c r="BP52" s="39"/>
      <c r="BQ52" s="39"/>
      <c r="BR52" s="39"/>
      <c r="BS52" s="39"/>
      <c r="BT52" s="39"/>
      <c r="BU52" s="39"/>
      <c r="BV52" s="39"/>
      <c r="BW52" s="39"/>
      <c r="BX52" s="39"/>
      <c r="BY52" s="39"/>
      <c r="BZ52" s="39"/>
      <c r="CA52" s="39"/>
      <c r="CB52" s="39"/>
      <c r="CC52" s="39"/>
      <c r="CD52" s="39"/>
      <c r="CE52" s="39"/>
      <c r="CF52" s="39"/>
      <c r="CG52" s="39"/>
      <c r="CH52" s="39"/>
      <c r="CI52" s="39"/>
      <c r="CJ52" s="39"/>
      <c r="CK52" s="39"/>
      <c r="CL52" s="39"/>
      <c r="CM52" s="39"/>
      <c r="CN52" s="39"/>
      <c r="CO52" s="39"/>
      <c r="CP52" s="39"/>
      <c r="CQ52" s="39"/>
      <c r="CR52" s="39"/>
      <c r="CS52" s="39"/>
      <c r="CT52" s="39"/>
      <c r="CU52" s="39"/>
      <c r="CV52" s="39"/>
      <c r="CW52" s="39"/>
      <c r="CX52" s="39"/>
      <c r="CY52" s="39"/>
      <c r="CZ52" s="39"/>
      <c r="DA52" s="39"/>
      <c r="DB52" s="39"/>
      <c r="DC52" s="39"/>
      <c r="DD52" s="39"/>
      <c r="DE52" s="39"/>
      <c r="DF52" s="39"/>
      <c r="DG52" s="39"/>
      <c r="DH52" s="39"/>
      <c r="DI52" s="39"/>
      <c r="DJ52" s="39"/>
      <c r="DK52" s="39"/>
      <c r="DL52" s="39"/>
      <c r="DM52" s="39"/>
      <c r="DN52" s="39"/>
      <c r="DO52" s="39"/>
      <c r="DP52" s="39"/>
      <c r="DQ52" s="39"/>
      <c r="DR52" s="39"/>
      <c r="DS52" s="39"/>
      <c r="DT52" s="39"/>
      <c r="DU52" s="39"/>
      <c r="DV52" s="39"/>
      <c r="DW52" s="39"/>
      <c r="DX52" s="39"/>
      <c r="DY52" s="39"/>
      <c r="DZ52" s="39"/>
      <c r="EA52" s="39"/>
      <c r="EB52" s="39"/>
      <c r="EC52" s="39"/>
      <c r="ED52" s="39"/>
      <c r="EE52" s="39"/>
      <c r="EF52" s="39"/>
      <c r="EG52" s="39"/>
      <c r="EH52" s="39"/>
      <c r="EI52" s="39"/>
      <c r="EJ52" s="39"/>
      <c r="EK52" s="39"/>
      <c r="EL52" s="39"/>
      <c r="EM52" s="39"/>
      <c r="EN52" s="39"/>
      <c r="EO52" s="39"/>
      <c r="EP52" s="39"/>
      <c r="EQ52" s="39"/>
      <c r="ER52" s="39"/>
      <c r="ES52" s="39"/>
      <c r="ET52" s="39"/>
      <c r="EU52" s="39"/>
      <c r="EV52" s="39"/>
      <c r="EW52" s="39"/>
      <c r="EX52" s="39"/>
      <c r="EY52" s="39"/>
      <c r="EZ52" s="39"/>
      <c r="FA52" s="39"/>
      <c r="FB52" s="39"/>
      <c r="FC52" s="39"/>
      <c r="FD52" s="39"/>
      <c r="FE52" s="39"/>
      <c r="FF52" s="39"/>
      <c r="FG52" s="39"/>
      <c r="FH52" s="39"/>
      <c r="FI52" s="39"/>
      <c r="FJ52" s="39"/>
      <c r="FK52" s="39"/>
      <c r="FL52" s="39"/>
      <c r="FM52" s="39"/>
      <c r="FN52" s="39"/>
    </row>
    <row r="53" spans="1:170" x14ac:dyDescent="0.3">
      <c r="A53" s="53"/>
      <c r="B53" s="53"/>
      <c r="C53" s="5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</row>
    <row r="54" spans="1:170" s="46" customFormat="1" x14ac:dyDescent="0.3">
      <c r="A54" s="54" t="s">
        <v>60</v>
      </c>
      <c r="B54" s="55"/>
      <c r="C54" s="55"/>
      <c r="E54" s="47">
        <f>E47+E50-E51-E52</f>
        <v>2202396</v>
      </c>
      <c r="F54" s="47">
        <f t="shared" ref="F54:AN54" si="31">F47+F50-F51-F52</f>
        <v>1501499</v>
      </c>
      <c r="G54" s="47">
        <f t="shared" si="31"/>
        <v>515571</v>
      </c>
      <c r="H54" s="47">
        <f t="shared" si="31"/>
        <v>2199606</v>
      </c>
      <c r="I54" s="47">
        <f t="shared" si="31"/>
        <v>926907</v>
      </c>
      <c r="J54" s="47">
        <f t="shared" si="31"/>
        <v>531315</v>
      </c>
      <c r="K54" s="47">
        <f t="shared" si="31"/>
        <v>-3524759.7400000021</v>
      </c>
      <c r="L54" s="47">
        <f t="shared" si="31"/>
        <v>472984.52</v>
      </c>
      <c r="M54" s="47">
        <f t="shared" si="31"/>
        <v>659711.49971200398</v>
      </c>
      <c r="N54" s="47">
        <f t="shared" si="31"/>
        <v>-389529.60228976095</v>
      </c>
      <c r="O54" s="47">
        <f t="shared" si="31"/>
        <v>-658317.99497455603</v>
      </c>
      <c r="P54" s="47">
        <f t="shared" si="31"/>
        <v>-1793021.7394904112</v>
      </c>
      <c r="Q54" s="47">
        <f t="shared" si="31"/>
        <v>-1839899.7394904112</v>
      </c>
      <c r="R54" s="47">
        <f t="shared" si="31"/>
        <v>-1839899.7394904112</v>
      </c>
      <c r="S54" s="47">
        <f t="shared" si="31"/>
        <v>-1839899.7394904112</v>
      </c>
      <c r="T54" s="47">
        <f t="shared" si="31"/>
        <v>-1839899.7394904112</v>
      </c>
      <c r="U54" s="47">
        <f t="shared" si="31"/>
        <v>-1839899.7394904112</v>
      </c>
      <c r="V54" s="47">
        <f t="shared" si="31"/>
        <v>-1839899.7394904112</v>
      </c>
      <c r="W54" s="47">
        <f t="shared" si="31"/>
        <v>-1839899.7394904112</v>
      </c>
      <c r="X54" s="47">
        <f t="shared" si="31"/>
        <v>-1839899.7394904112</v>
      </c>
      <c r="Y54" s="47">
        <f t="shared" si="31"/>
        <v>-1839899.7394904112</v>
      </c>
      <c r="Z54" s="47">
        <f t="shared" si="31"/>
        <v>-1839899.7394904112</v>
      </c>
      <c r="AA54" s="47">
        <f t="shared" si="31"/>
        <v>-1839899.7394904112</v>
      </c>
      <c r="AB54" s="47">
        <f t="shared" si="31"/>
        <v>-1839899.7394904112</v>
      </c>
      <c r="AC54" s="47">
        <f t="shared" si="31"/>
        <v>-1839899.7394904112</v>
      </c>
      <c r="AD54" s="47">
        <f t="shared" si="31"/>
        <v>-1839899.7394904112</v>
      </c>
      <c r="AE54" s="47">
        <f t="shared" si="31"/>
        <v>-1839899.7394904112</v>
      </c>
      <c r="AF54" s="47">
        <f t="shared" si="31"/>
        <v>-1839899.7394904112</v>
      </c>
      <c r="AG54" s="47">
        <f t="shared" si="31"/>
        <v>-1839899.7394904112</v>
      </c>
      <c r="AH54" s="47">
        <f t="shared" si="31"/>
        <v>-1839899.7394904112</v>
      </c>
      <c r="AI54" s="47">
        <f t="shared" si="31"/>
        <v>-1839899.7394904112</v>
      </c>
      <c r="AJ54" s="47">
        <f t="shared" si="31"/>
        <v>-1839899.7394904112</v>
      </c>
      <c r="AK54" s="47">
        <f t="shared" si="31"/>
        <v>-1839899.7394904112</v>
      </c>
      <c r="AL54" s="47">
        <f t="shared" si="31"/>
        <v>-1839899.7394904112</v>
      </c>
      <c r="AM54" s="47">
        <f t="shared" si="31"/>
        <v>-1839899.7394904112</v>
      </c>
      <c r="AN54" s="47">
        <f t="shared" si="31"/>
        <v>-1839899.7394904112</v>
      </c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  <c r="BF54" s="48"/>
      <c r="BG54" s="48"/>
      <c r="BH54" s="48"/>
      <c r="BI54" s="48"/>
      <c r="BJ54" s="48"/>
      <c r="BK54" s="48"/>
      <c r="BL54" s="48"/>
      <c r="BM54" s="48"/>
      <c r="BN54" s="48"/>
      <c r="BO54" s="48"/>
      <c r="BP54" s="48"/>
      <c r="BQ54" s="48"/>
      <c r="BR54" s="48"/>
      <c r="BS54" s="48"/>
      <c r="BT54" s="48"/>
      <c r="BU54" s="48"/>
      <c r="BV54" s="48"/>
      <c r="BW54" s="48"/>
      <c r="BX54" s="48"/>
      <c r="BY54" s="48"/>
      <c r="BZ54" s="48"/>
      <c r="CA54" s="48"/>
      <c r="CB54" s="48"/>
      <c r="CC54" s="48"/>
      <c r="CD54" s="48"/>
      <c r="CE54" s="48"/>
      <c r="CF54" s="48"/>
      <c r="CG54" s="48"/>
      <c r="CH54" s="48"/>
      <c r="CI54" s="48"/>
      <c r="CJ54" s="48"/>
      <c r="CK54" s="48"/>
      <c r="CL54" s="48"/>
      <c r="CM54" s="48"/>
      <c r="CN54" s="48"/>
      <c r="CO54" s="48"/>
      <c r="CP54" s="48"/>
      <c r="CQ54" s="48"/>
      <c r="CR54" s="48"/>
      <c r="CS54" s="48"/>
      <c r="CT54" s="48"/>
      <c r="CU54" s="48"/>
      <c r="CV54" s="48"/>
      <c r="CW54" s="48"/>
      <c r="CX54" s="48"/>
      <c r="CY54" s="48"/>
      <c r="CZ54" s="48"/>
      <c r="DA54" s="48"/>
      <c r="DB54" s="48"/>
      <c r="DC54" s="48"/>
      <c r="DD54" s="48"/>
      <c r="DE54" s="48"/>
      <c r="DF54" s="48"/>
      <c r="DG54" s="48"/>
      <c r="DH54" s="48"/>
      <c r="DI54" s="48"/>
      <c r="DJ54" s="48"/>
      <c r="DK54" s="48"/>
      <c r="DL54" s="48"/>
      <c r="DM54" s="48"/>
      <c r="DN54" s="48"/>
      <c r="DO54" s="48"/>
      <c r="DP54" s="48"/>
      <c r="DQ54" s="48"/>
      <c r="DR54" s="48"/>
      <c r="DS54" s="48"/>
      <c r="DT54" s="48"/>
      <c r="DU54" s="48"/>
      <c r="DV54" s="48"/>
      <c r="DW54" s="48"/>
      <c r="DX54" s="48"/>
      <c r="DY54" s="48"/>
      <c r="DZ54" s="48"/>
      <c r="EA54" s="48"/>
      <c r="EB54" s="48"/>
      <c r="EC54" s="48"/>
      <c r="ED54" s="48"/>
      <c r="EE54" s="48"/>
      <c r="EF54" s="48"/>
      <c r="EG54" s="48"/>
      <c r="EH54" s="48"/>
      <c r="EI54" s="48"/>
      <c r="EJ54" s="48"/>
      <c r="EK54" s="48"/>
      <c r="EL54" s="48"/>
      <c r="EM54" s="48"/>
      <c r="EN54" s="48"/>
      <c r="EO54" s="48"/>
      <c r="EP54" s="48"/>
      <c r="EQ54" s="48"/>
      <c r="ER54" s="48"/>
      <c r="ES54" s="48"/>
      <c r="ET54" s="48"/>
      <c r="EU54" s="48"/>
      <c r="EV54" s="48"/>
      <c r="EW54" s="48"/>
      <c r="EX54" s="48"/>
      <c r="EY54" s="48"/>
      <c r="EZ54" s="48"/>
      <c r="FA54" s="48"/>
      <c r="FB54" s="48"/>
      <c r="FC54" s="48"/>
      <c r="FD54" s="48"/>
      <c r="FE54" s="48"/>
      <c r="FF54" s="48"/>
      <c r="FG54" s="48"/>
      <c r="FH54" s="48"/>
      <c r="FI54" s="48"/>
      <c r="FJ54" s="48"/>
      <c r="FK54" s="48"/>
      <c r="FL54" s="48"/>
      <c r="FM54" s="48"/>
      <c r="FN54" s="48"/>
    </row>
    <row r="55" spans="1:170" s="3" customFormat="1" x14ac:dyDescent="0.3">
      <c r="A55" s="56"/>
      <c r="B55" s="57"/>
      <c r="C55" s="57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</row>
    <row r="56" spans="1:170" s="3" customFormat="1" x14ac:dyDescent="0.3">
      <c r="A56" s="59" t="s">
        <v>61</v>
      </c>
      <c r="B56" s="57"/>
      <c r="C56" s="57"/>
      <c r="E56" s="39">
        <v>9805</v>
      </c>
      <c r="F56" s="39">
        <v>12061</v>
      </c>
      <c r="G56" s="39">
        <v>13511</v>
      </c>
      <c r="H56" s="39">
        <v>16916</v>
      </c>
      <c r="I56" s="39">
        <v>21638</v>
      </c>
      <c r="J56" s="39">
        <v>24099</v>
      </c>
      <c r="K56" s="39">
        <v>0</v>
      </c>
      <c r="L56" s="39">
        <v>16338</v>
      </c>
      <c r="M56" s="39">
        <f>L56*1.02</f>
        <v>16664.760000000002</v>
      </c>
      <c r="N56" s="39">
        <f t="shared" ref="N56:P56" si="32">M56*1.01</f>
        <v>16831.407600000002</v>
      </c>
      <c r="O56" s="39">
        <f t="shared" si="32"/>
        <v>16999.721676000001</v>
      </c>
      <c r="P56" s="39">
        <f t="shared" si="32"/>
        <v>17169.71889276</v>
      </c>
      <c r="Q56" s="39">
        <f>P56</f>
        <v>17169.71889276</v>
      </c>
      <c r="R56" s="39">
        <f t="shared" ref="R56:AN56" si="33">Q56</f>
        <v>17169.71889276</v>
      </c>
      <c r="S56" s="39">
        <f t="shared" si="33"/>
        <v>17169.71889276</v>
      </c>
      <c r="T56" s="39">
        <f t="shared" si="33"/>
        <v>17169.71889276</v>
      </c>
      <c r="U56" s="39">
        <f t="shared" si="33"/>
        <v>17169.71889276</v>
      </c>
      <c r="V56" s="39">
        <f t="shared" si="33"/>
        <v>17169.71889276</v>
      </c>
      <c r="W56" s="39">
        <f t="shared" si="33"/>
        <v>17169.71889276</v>
      </c>
      <c r="X56" s="39">
        <f t="shared" si="33"/>
        <v>17169.71889276</v>
      </c>
      <c r="Y56" s="39">
        <f t="shared" si="33"/>
        <v>17169.71889276</v>
      </c>
      <c r="Z56" s="39">
        <f t="shared" si="33"/>
        <v>17169.71889276</v>
      </c>
      <c r="AA56" s="39">
        <f t="shared" si="33"/>
        <v>17169.71889276</v>
      </c>
      <c r="AB56" s="39">
        <f t="shared" si="33"/>
        <v>17169.71889276</v>
      </c>
      <c r="AC56" s="39">
        <f t="shared" si="33"/>
        <v>17169.71889276</v>
      </c>
      <c r="AD56" s="39">
        <f t="shared" si="33"/>
        <v>17169.71889276</v>
      </c>
      <c r="AE56" s="39">
        <f t="shared" si="33"/>
        <v>17169.71889276</v>
      </c>
      <c r="AF56" s="39">
        <f t="shared" si="33"/>
        <v>17169.71889276</v>
      </c>
      <c r="AG56" s="39">
        <f t="shared" si="33"/>
        <v>17169.71889276</v>
      </c>
      <c r="AH56" s="39">
        <f t="shared" si="33"/>
        <v>17169.71889276</v>
      </c>
      <c r="AI56" s="39">
        <f t="shared" si="33"/>
        <v>17169.71889276</v>
      </c>
      <c r="AJ56" s="39">
        <f t="shared" si="33"/>
        <v>17169.71889276</v>
      </c>
      <c r="AK56" s="39">
        <f t="shared" si="33"/>
        <v>17169.71889276</v>
      </c>
      <c r="AL56" s="39">
        <f t="shared" si="33"/>
        <v>17169.71889276</v>
      </c>
      <c r="AM56" s="39">
        <f t="shared" si="33"/>
        <v>17169.71889276</v>
      </c>
      <c r="AN56" s="39">
        <f t="shared" si="33"/>
        <v>17169.71889276</v>
      </c>
    </row>
    <row r="57" spans="1:170" s="3" customFormat="1" x14ac:dyDescent="0.3">
      <c r="A57" s="59" t="s">
        <v>62</v>
      </c>
      <c r="B57" s="57"/>
      <c r="C57" s="57"/>
      <c r="E57" s="93">
        <v>0</v>
      </c>
      <c r="F57" s="93">
        <v>0</v>
      </c>
      <c r="G57" s="93">
        <v>0</v>
      </c>
      <c r="H57" s="93">
        <v>0</v>
      </c>
      <c r="I57" s="93">
        <v>0</v>
      </c>
      <c r="J57" s="93">
        <v>0</v>
      </c>
      <c r="K57" s="93">
        <v>0</v>
      </c>
      <c r="L57" s="93">
        <v>0</v>
      </c>
      <c r="M57" s="93">
        <v>0</v>
      </c>
      <c r="N57" s="93">
        <v>0</v>
      </c>
      <c r="O57" s="93">
        <v>0</v>
      </c>
      <c r="P57" s="93">
        <v>0</v>
      </c>
      <c r="Q57" s="93">
        <v>0</v>
      </c>
      <c r="R57" s="93">
        <v>0</v>
      </c>
      <c r="S57" s="93">
        <v>0</v>
      </c>
      <c r="T57" s="93">
        <v>0</v>
      </c>
      <c r="U57" s="93">
        <v>0</v>
      </c>
      <c r="V57" s="93">
        <v>0</v>
      </c>
      <c r="W57" s="93">
        <v>0</v>
      </c>
      <c r="X57" s="93">
        <v>0</v>
      </c>
      <c r="Y57" s="93">
        <v>0</v>
      </c>
      <c r="Z57" s="93">
        <v>0</v>
      </c>
      <c r="AA57" s="93">
        <v>0</v>
      </c>
      <c r="AB57" s="93">
        <v>0</v>
      </c>
      <c r="AC57" s="93">
        <v>0</v>
      </c>
      <c r="AD57" s="93">
        <v>0</v>
      </c>
      <c r="AE57" s="93">
        <v>0</v>
      </c>
      <c r="AF57" s="93">
        <v>0</v>
      </c>
      <c r="AG57" s="93">
        <v>0</v>
      </c>
      <c r="AH57" s="93">
        <v>0</v>
      </c>
      <c r="AI57" s="93">
        <v>0</v>
      </c>
      <c r="AJ57" s="93">
        <v>0</v>
      </c>
      <c r="AK57" s="93">
        <v>0</v>
      </c>
      <c r="AL57" s="93">
        <v>0</v>
      </c>
      <c r="AM57" s="93">
        <v>0</v>
      </c>
      <c r="AN57" s="93">
        <v>0</v>
      </c>
    </row>
    <row r="58" spans="1:170" s="3" customFormat="1" x14ac:dyDescent="0.3">
      <c r="A58" s="59"/>
      <c r="B58" s="57"/>
      <c r="C58" s="57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8"/>
      <c r="AK58" s="58"/>
      <c r="AL58" s="58"/>
      <c r="AM58" s="58"/>
      <c r="AN58" s="58"/>
    </row>
    <row r="59" spans="1:170" s="62" customFormat="1" ht="14.5" thickBot="1" x14ac:dyDescent="0.35">
      <c r="A59" s="60" t="s">
        <v>63</v>
      </c>
      <c r="B59" s="61"/>
      <c r="C59" s="61"/>
      <c r="E59" s="63">
        <f>E54-E56-E57</f>
        <v>2192591</v>
      </c>
      <c r="F59" s="63">
        <f t="shared" ref="F59:AN59" si="34">F54-F56-F57</f>
        <v>1489438</v>
      </c>
      <c r="G59" s="63">
        <f t="shared" si="34"/>
        <v>502060</v>
      </c>
      <c r="H59" s="63">
        <f t="shared" si="34"/>
        <v>2182690</v>
      </c>
      <c r="I59" s="63">
        <f t="shared" si="34"/>
        <v>905269</v>
      </c>
      <c r="J59" s="63">
        <f t="shared" si="34"/>
        <v>507216</v>
      </c>
      <c r="K59" s="63">
        <f t="shared" si="34"/>
        <v>-3524759.7400000021</v>
      </c>
      <c r="L59" s="63">
        <f t="shared" si="34"/>
        <v>456646.52</v>
      </c>
      <c r="M59" s="63">
        <f t="shared" si="34"/>
        <v>643046.73971200397</v>
      </c>
      <c r="N59" s="63">
        <f t="shared" si="34"/>
        <v>-406361.00988976093</v>
      </c>
      <c r="O59" s="63">
        <f t="shared" si="34"/>
        <v>-675317.71665055607</v>
      </c>
      <c r="P59" s="63">
        <f t="shared" si="34"/>
        <v>-1810191.4583831714</v>
      </c>
      <c r="Q59" s="63">
        <f t="shared" si="34"/>
        <v>-1857069.4583831714</v>
      </c>
      <c r="R59" s="63">
        <f t="shared" si="34"/>
        <v>-1857069.4583831714</v>
      </c>
      <c r="S59" s="63">
        <f t="shared" si="34"/>
        <v>-1857069.4583831714</v>
      </c>
      <c r="T59" s="63">
        <f t="shared" si="34"/>
        <v>-1857069.4583831714</v>
      </c>
      <c r="U59" s="63">
        <f t="shared" si="34"/>
        <v>-1857069.4583831714</v>
      </c>
      <c r="V59" s="63">
        <f t="shared" si="34"/>
        <v>-1857069.4583831714</v>
      </c>
      <c r="W59" s="63">
        <f t="shared" si="34"/>
        <v>-1857069.4583831714</v>
      </c>
      <c r="X59" s="63">
        <f t="shared" si="34"/>
        <v>-1857069.4583831714</v>
      </c>
      <c r="Y59" s="63">
        <f t="shared" si="34"/>
        <v>-1857069.4583831714</v>
      </c>
      <c r="Z59" s="63">
        <f t="shared" si="34"/>
        <v>-1857069.4583831714</v>
      </c>
      <c r="AA59" s="63">
        <f t="shared" si="34"/>
        <v>-1857069.4583831714</v>
      </c>
      <c r="AB59" s="63">
        <f t="shared" si="34"/>
        <v>-1857069.4583831714</v>
      </c>
      <c r="AC59" s="63">
        <f t="shared" si="34"/>
        <v>-1857069.4583831714</v>
      </c>
      <c r="AD59" s="63">
        <f t="shared" si="34"/>
        <v>-1857069.4583831714</v>
      </c>
      <c r="AE59" s="63">
        <f t="shared" si="34"/>
        <v>-1857069.4583831714</v>
      </c>
      <c r="AF59" s="63">
        <f t="shared" si="34"/>
        <v>-1857069.4583831714</v>
      </c>
      <c r="AG59" s="63">
        <f t="shared" si="34"/>
        <v>-1857069.4583831714</v>
      </c>
      <c r="AH59" s="63">
        <f t="shared" si="34"/>
        <v>-1857069.4583831714</v>
      </c>
      <c r="AI59" s="63">
        <f t="shared" si="34"/>
        <v>-1857069.4583831714</v>
      </c>
      <c r="AJ59" s="63">
        <f t="shared" si="34"/>
        <v>-1857069.4583831714</v>
      </c>
      <c r="AK59" s="63">
        <f t="shared" si="34"/>
        <v>-1857069.4583831714</v>
      </c>
      <c r="AL59" s="63">
        <f t="shared" si="34"/>
        <v>-1857069.4583831714</v>
      </c>
      <c r="AM59" s="63">
        <f t="shared" si="34"/>
        <v>-1857069.4583831714</v>
      </c>
      <c r="AN59" s="63">
        <f t="shared" si="34"/>
        <v>-1857069.4583831714</v>
      </c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64"/>
      <c r="BK59" s="64"/>
      <c r="BL59" s="64"/>
      <c r="BM59" s="64"/>
      <c r="BN59" s="64"/>
      <c r="BO59" s="64"/>
      <c r="BP59" s="64"/>
      <c r="BQ59" s="64"/>
      <c r="BR59" s="64"/>
      <c r="BS59" s="64"/>
      <c r="BT59" s="64"/>
      <c r="BU59" s="64"/>
      <c r="BV59" s="64"/>
      <c r="BW59" s="64"/>
      <c r="BX59" s="64"/>
      <c r="BY59" s="64"/>
      <c r="BZ59" s="64"/>
      <c r="CA59" s="64"/>
      <c r="CB59" s="64"/>
      <c r="CC59" s="64"/>
      <c r="CD59" s="64"/>
      <c r="CE59" s="64"/>
      <c r="CF59" s="64"/>
      <c r="CG59" s="64"/>
      <c r="CH59" s="64"/>
      <c r="CI59" s="64"/>
      <c r="CJ59" s="64"/>
      <c r="CK59" s="64"/>
      <c r="CL59" s="64"/>
      <c r="CM59" s="64"/>
      <c r="CN59" s="64"/>
      <c r="CO59" s="64"/>
      <c r="CP59" s="64"/>
      <c r="CQ59" s="64"/>
      <c r="CR59" s="64"/>
      <c r="CS59" s="64"/>
      <c r="CT59" s="64"/>
      <c r="CU59" s="64"/>
      <c r="CV59" s="64"/>
      <c r="CW59" s="64"/>
      <c r="CX59" s="64"/>
      <c r="CY59" s="64"/>
      <c r="CZ59" s="64"/>
      <c r="DA59" s="64"/>
      <c r="DB59" s="64"/>
      <c r="DC59" s="64"/>
      <c r="DD59" s="64"/>
      <c r="DE59" s="64"/>
      <c r="DF59" s="64"/>
      <c r="DG59" s="64"/>
      <c r="DH59" s="64"/>
      <c r="DI59" s="64"/>
      <c r="DJ59" s="64"/>
      <c r="DK59" s="64"/>
      <c r="DL59" s="64"/>
      <c r="DM59" s="64"/>
      <c r="DN59" s="64"/>
      <c r="DO59" s="64"/>
      <c r="DP59" s="64"/>
      <c r="DQ59" s="64"/>
      <c r="DR59" s="64"/>
      <c r="DS59" s="64"/>
      <c r="DT59" s="64"/>
      <c r="DU59" s="64"/>
      <c r="DV59" s="64"/>
      <c r="DW59" s="64"/>
      <c r="DX59" s="64"/>
      <c r="DY59" s="64"/>
      <c r="DZ59" s="64"/>
      <c r="EA59" s="64"/>
      <c r="EB59" s="64"/>
      <c r="EC59" s="64"/>
      <c r="ED59" s="64"/>
      <c r="EE59" s="64"/>
      <c r="EF59" s="64"/>
      <c r="EG59" s="64"/>
      <c r="EH59" s="64"/>
      <c r="EI59" s="64"/>
      <c r="EJ59" s="64"/>
      <c r="EK59" s="64"/>
      <c r="EL59" s="64"/>
      <c r="EM59" s="64"/>
      <c r="EN59" s="64"/>
      <c r="EO59" s="64"/>
      <c r="EP59" s="64"/>
      <c r="EQ59" s="64"/>
      <c r="ER59" s="64"/>
      <c r="ES59" s="64"/>
      <c r="ET59" s="64"/>
      <c r="EU59" s="64"/>
      <c r="EV59" s="64"/>
      <c r="EW59" s="64"/>
      <c r="EX59" s="64"/>
      <c r="EY59" s="64"/>
      <c r="EZ59" s="64"/>
      <c r="FA59" s="64"/>
      <c r="FB59" s="64"/>
      <c r="FC59" s="64"/>
      <c r="FD59" s="64"/>
      <c r="FE59" s="64"/>
      <c r="FF59" s="64"/>
      <c r="FG59" s="64"/>
      <c r="FH59" s="64"/>
      <c r="FI59" s="64"/>
      <c r="FJ59" s="64"/>
      <c r="FK59" s="64"/>
      <c r="FL59" s="64"/>
      <c r="FM59" s="64"/>
      <c r="FN59" s="64"/>
    </row>
  </sheetData>
  <mergeCells count="13">
    <mergeCell ref="A9:B9"/>
    <mergeCell ref="B1:F3"/>
    <mergeCell ref="G1:AN3"/>
    <mergeCell ref="A4:E4"/>
    <mergeCell ref="A6:C6"/>
    <mergeCell ref="A8:B8"/>
    <mergeCell ref="A34:B34"/>
    <mergeCell ref="A10:B10"/>
    <mergeCell ref="A11:B11"/>
    <mergeCell ref="A12:B12"/>
    <mergeCell ref="A13:B13"/>
    <mergeCell ref="A26:B26"/>
    <mergeCell ref="A30:B30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59"/>
  <sheetViews>
    <sheetView tabSelected="1" topLeftCell="T1" zoomScale="60" zoomScaleNormal="60" workbookViewId="0">
      <pane ySplit="5" topLeftCell="A6" activePane="bottomLeft" state="frozen"/>
      <selection pane="bottomLeft" activeCell="M6" sqref="M6:AN6"/>
    </sheetView>
  </sheetViews>
  <sheetFormatPr defaultRowHeight="14.5" x14ac:dyDescent="0.35"/>
  <cols>
    <col min="5" max="40" width="12.54296875" customWidth="1"/>
  </cols>
  <sheetData>
    <row r="1" spans="1:40" ht="14.5" customHeight="1" x14ac:dyDescent="0.35">
      <c r="A1" s="330"/>
      <c r="B1" s="330"/>
      <c r="C1" s="330"/>
      <c r="D1" s="329" t="s">
        <v>72</v>
      </c>
      <c r="E1" s="329"/>
      <c r="F1" s="329"/>
      <c r="G1" s="329"/>
      <c r="H1" s="329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  <c r="AB1" s="327"/>
      <c r="AC1" s="327"/>
      <c r="AD1" s="327"/>
      <c r="AE1" s="327"/>
      <c r="AF1" s="327"/>
      <c r="AG1" s="327"/>
      <c r="AH1" s="327"/>
      <c r="AI1" s="327"/>
      <c r="AJ1" s="327"/>
      <c r="AK1" s="327"/>
      <c r="AL1" s="327"/>
      <c r="AM1" s="327"/>
      <c r="AN1" s="327"/>
    </row>
    <row r="2" spans="1:40" ht="14.5" customHeight="1" x14ac:dyDescent="0.35">
      <c r="A2" s="330"/>
      <c r="B2" s="330"/>
      <c r="C2" s="330"/>
      <c r="D2" s="329"/>
      <c r="E2" s="329"/>
      <c r="F2" s="329"/>
      <c r="G2" s="329"/>
      <c r="H2" s="329"/>
      <c r="I2" s="327"/>
      <c r="J2" s="327"/>
      <c r="K2" s="327"/>
      <c r="L2" s="327"/>
      <c r="M2" s="327"/>
      <c r="N2" s="327"/>
      <c r="O2" s="327"/>
      <c r="P2" s="327"/>
      <c r="Q2" s="327"/>
      <c r="R2" s="327"/>
      <c r="S2" s="327"/>
      <c r="T2" s="327"/>
      <c r="U2" s="327"/>
      <c r="V2" s="327"/>
      <c r="W2" s="327"/>
      <c r="X2" s="327"/>
      <c r="Y2" s="327"/>
      <c r="Z2" s="327"/>
      <c r="AA2" s="327"/>
      <c r="AB2" s="327"/>
      <c r="AC2" s="327"/>
      <c r="AD2" s="327"/>
      <c r="AE2" s="327"/>
      <c r="AF2" s="327"/>
      <c r="AG2" s="327"/>
      <c r="AH2" s="327"/>
      <c r="AI2" s="327"/>
      <c r="AJ2" s="327"/>
      <c r="AK2" s="327"/>
      <c r="AL2" s="327"/>
      <c r="AM2" s="327"/>
      <c r="AN2" s="327"/>
    </row>
    <row r="3" spans="1:40" ht="22" customHeight="1" x14ac:dyDescent="0.35">
      <c r="A3" s="330"/>
      <c r="B3" s="330"/>
      <c r="C3" s="330"/>
      <c r="D3" s="329"/>
      <c r="E3" s="329"/>
      <c r="F3" s="329"/>
      <c r="G3" s="329"/>
      <c r="H3" s="329"/>
      <c r="I3" s="327"/>
      <c r="J3" s="327"/>
      <c r="K3" s="327"/>
      <c r="L3" s="327"/>
      <c r="M3" s="327"/>
      <c r="N3" s="327"/>
      <c r="O3" s="327"/>
      <c r="P3" s="327"/>
      <c r="Q3" s="327"/>
      <c r="R3" s="327"/>
      <c r="S3" s="327"/>
      <c r="T3" s="327"/>
      <c r="U3" s="327"/>
      <c r="V3" s="327"/>
      <c r="W3" s="327"/>
      <c r="X3" s="327"/>
      <c r="Y3" s="327"/>
      <c r="Z3" s="327"/>
      <c r="AA3" s="327"/>
      <c r="AB3" s="327"/>
      <c r="AC3" s="327"/>
      <c r="AD3" s="327"/>
      <c r="AE3" s="327"/>
      <c r="AF3" s="327"/>
      <c r="AG3" s="327"/>
      <c r="AH3" s="327"/>
      <c r="AI3" s="327"/>
      <c r="AJ3" s="327"/>
      <c r="AK3" s="327"/>
      <c r="AL3" s="327"/>
      <c r="AM3" s="327"/>
      <c r="AN3" s="327"/>
    </row>
    <row r="4" spans="1:40" ht="18" x14ac:dyDescent="0.35">
      <c r="A4" s="308" t="s">
        <v>139</v>
      </c>
      <c r="B4" s="308"/>
      <c r="C4" s="308"/>
      <c r="D4" s="308"/>
      <c r="E4" s="308"/>
      <c r="F4" s="4"/>
      <c r="G4" s="4"/>
      <c r="H4" s="4"/>
      <c r="I4" s="4"/>
      <c r="J4" s="4"/>
      <c r="K4" s="4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</row>
    <row r="5" spans="1:40" x14ac:dyDescent="0.35">
      <c r="A5" s="5"/>
      <c r="B5" s="5"/>
      <c r="C5" s="5"/>
      <c r="D5" s="5"/>
      <c r="E5" s="6">
        <v>2015</v>
      </c>
      <c r="F5" s="6">
        <v>2016</v>
      </c>
      <c r="G5" s="6">
        <v>2017</v>
      </c>
      <c r="H5" s="6">
        <v>2018</v>
      </c>
      <c r="I5" s="6">
        <v>2019</v>
      </c>
      <c r="J5" s="6">
        <v>2020</v>
      </c>
      <c r="K5" s="6">
        <v>2021</v>
      </c>
      <c r="L5" s="7">
        <v>2022</v>
      </c>
      <c r="M5" s="7">
        <v>2023</v>
      </c>
      <c r="N5" s="7">
        <v>2024</v>
      </c>
      <c r="O5" s="7">
        <v>2025</v>
      </c>
      <c r="P5" s="7">
        <v>2026</v>
      </c>
      <c r="Q5" s="7">
        <v>2027</v>
      </c>
      <c r="R5" s="7">
        <v>2028</v>
      </c>
      <c r="S5" s="7">
        <v>2029</v>
      </c>
      <c r="T5" s="7">
        <v>2030</v>
      </c>
      <c r="U5" s="7">
        <v>2031</v>
      </c>
      <c r="V5" s="7">
        <v>2032</v>
      </c>
      <c r="W5" s="7">
        <v>2033</v>
      </c>
      <c r="X5" s="7">
        <v>2034</v>
      </c>
      <c r="Y5" s="7">
        <v>2035</v>
      </c>
      <c r="Z5" s="7">
        <v>2036</v>
      </c>
      <c r="AA5" s="7">
        <v>2037</v>
      </c>
      <c r="AB5" s="7">
        <v>2038</v>
      </c>
      <c r="AC5" s="7">
        <v>2039</v>
      </c>
      <c r="AD5" s="7">
        <v>2040</v>
      </c>
      <c r="AE5" s="7">
        <v>2041</v>
      </c>
      <c r="AF5" s="7">
        <v>2042</v>
      </c>
      <c r="AG5" s="7">
        <v>2043</v>
      </c>
      <c r="AH5" s="7">
        <v>2044</v>
      </c>
      <c r="AI5" s="7">
        <v>2045</v>
      </c>
      <c r="AJ5" s="7">
        <v>2046</v>
      </c>
      <c r="AK5" s="7">
        <v>2047</v>
      </c>
      <c r="AL5" s="7">
        <v>2048</v>
      </c>
      <c r="AM5" s="7">
        <v>2049</v>
      </c>
      <c r="AN5" s="7">
        <v>2050</v>
      </c>
    </row>
    <row r="6" spans="1:40" x14ac:dyDescent="0.35">
      <c r="A6" s="81" t="s">
        <v>1</v>
      </c>
      <c r="B6" s="81"/>
      <c r="C6" s="81"/>
      <c r="D6" s="9"/>
      <c r="E6" s="10">
        <f>SUM(E8:E12)</f>
        <v>39157554</v>
      </c>
      <c r="F6" s="10">
        <f t="shared" ref="F6:K6" si="0">SUM(F8:F11)</f>
        <v>41941403</v>
      </c>
      <c r="G6" s="10">
        <f t="shared" si="0"/>
        <v>42466224</v>
      </c>
      <c r="H6" s="10">
        <f t="shared" si="0"/>
        <v>44102478</v>
      </c>
      <c r="I6" s="10">
        <f t="shared" si="0"/>
        <v>49404755</v>
      </c>
      <c r="J6" s="10">
        <f t="shared" si="0"/>
        <v>49794066</v>
      </c>
      <c r="K6" s="10">
        <f t="shared" si="0"/>
        <v>56267720</v>
      </c>
      <c r="L6" s="10">
        <v>58136151</v>
      </c>
      <c r="M6" s="10">
        <v>78186291</v>
      </c>
      <c r="N6" s="10">
        <f>M6*1</f>
        <v>78186291</v>
      </c>
      <c r="O6" s="10">
        <f>N6*1</f>
        <v>78186291</v>
      </c>
      <c r="P6" s="10">
        <f>O6*1</f>
        <v>78186291</v>
      </c>
      <c r="Q6" s="10">
        <f>P6*1.02</f>
        <v>79750016.820000008</v>
      </c>
      <c r="R6" s="10">
        <f>Q6</f>
        <v>79750016.820000008</v>
      </c>
      <c r="S6" s="10">
        <f t="shared" ref="S6:AN6" si="1">R6</f>
        <v>79750016.820000008</v>
      </c>
      <c r="T6" s="10">
        <f t="shared" si="1"/>
        <v>79750016.820000008</v>
      </c>
      <c r="U6" s="10">
        <f t="shared" si="1"/>
        <v>79750016.820000008</v>
      </c>
      <c r="V6" s="10">
        <f t="shared" si="1"/>
        <v>79750016.820000008</v>
      </c>
      <c r="W6" s="10">
        <f t="shared" si="1"/>
        <v>79750016.820000008</v>
      </c>
      <c r="X6" s="10">
        <f t="shared" si="1"/>
        <v>79750016.820000008</v>
      </c>
      <c r="Y6" s="10">
        <f t="shared" si="1"/>
        <v>79750016.820000008</v>
      </c>
      <c r="Z6" s="10">
        <f t="shared" si="1"/>
        <v>79750016.820000008</v>
      </c>
      <c r="AA6" s="10">
        <f t="shared" si="1"/>
        <v>79750016.820000008</v>
      </c>
      <c r="AB6" s="10">
        <f t="shared" si="1"/>
        <v>79750016.820000008</v>
      </c>
      <c r="AC6" s="10">
        <f t="shared" si="1"/>
        <v>79750016.820000008</v>
      </c>
      <c r="AD6" s="10">
        <f t="shared" si="1"/>
        <v>79750016.820000008</v>
      </c>
      <c r="AE6" s="10">
        <f t="shared" si="1"/>
        <v>79750016.820000008</v>
      </c>
      <c r="AF6" s="10">
        <f t="shared" si="1"/>
        <v>79750016.820000008</v>
      </c>
      <c r="AG6" s="10">
        <f t="shared" si="1"/>
        <v>79750016.820000008</v>
      </c>
      <c r="AH6" s="10">
        <f t="shared" si="1"/>
        <v>79750016.820000008</v>
      </c>
      <c r="AI6" s="10">
        <f t="shared" si="1"/>
        <v>79750016.820000008</v>
      </c>
      <c r="AJ6" s="10">
        <f t="shared" si="1"/>
        <v>79750016.820000008</v>
      </c>
      <c r="AK6" s="10">
        <f t="shared" si="1"/>
        <v>79750016.820000008</v>
      </c>
      <c r="AL6" s="10">
        <f t="shared" si="1"/>
        <v>79750016.820000008</v>
      </c>
      <c r="AM6" s="10">
        <f t="shared" si="1"/>
        <v>79750016.820000008</v>
      </c>
      <c r="AN6" s="10">
        <f t="shared" si="1"/>
        <v>79750016.820000008</v>
      </c>
    </row>
    <row r="7" spans="1:40" x14ac:dyDescent="0.35">
      <c r="A7" s="11" t="s">
        <v>2</v>
      </c>
      <c r="B7" s="12"/>
      <c r="C7" s="13"/>
      <c r="D7" s="13"/>
      <c r="E7" s="80" t="s">
        <v>3</v>
      </c>
      <c r="F7" s="15">
        <f t="shared" ref="F7:AN7" si="2">(F6-E6)/E6</f>
        <v>7.1093536639188437E-2</v>
      </c>
      <c r="G7" s="15">
        <f t="shared" si="2"/>
        <v>1.2513196089315372E-2</v>
      </c>
      <c r="H7" s="15">
        <f t="shared" si="2"/>
        <v>3.8530715610599141E-2</v>
      </c>
      <c r="I7" s="15">
        <f t="shared" si="2"/>
        <v>0.12022628297666177</v>
      </c>
      <c r="J7" s="16">
        <f t="shared" si="2"/>
        <v>7.8800309808236078E-3</v>
      </c>
      <c r="K7" s="16">
        <f t="shared" si="2"/>
        <v>0.1300085435883063</v>
      </c>
      <c r="L7" s="16">
        <f t="shared" si="2"/>
        <v>3.3206090454704761E-2</v>
      </c>
      <c r="M7" s="16">
        <f t="shared" si="2"/>
        <v>0.3448824811260725</v>
      </c>
      <c r="N7" s="16">
        <f t="shared" si="2"/>
        <v>0</v>
      </c>
      <c r="O7" s="16">
        <f t="shared" si="2"/>
        <v>0</v>
      </c>
      <c r="P7" s="16">
        <f t="shared" si="2"/>
        <v>0</v>
      </c>
      <c r="Q7" s="16">
        <f t="shared" si="2"/>
        <v>2.0000000000000098E-2</v>
      </c>
      <c r="R7" s="16">
        <f t="shared" si="2"/>
        <v>0</v>
      </c>
      <c r="S7" s="16">
        <f t="shared" si="2"/>
        <v>0</v>
      </c>
      <c r="T7" s="16">
        <f t="shared" si="2"/>
        <v>0</v>
      </c>
      <c r="U7" s="16">
        <f t="shared" si="2"/>
        <v>0</v>
      </c>
      <c r="V7" s="16">
        <f t="shared" si="2"/>
        <v>0</v>
      </c>
      <c r="W7" s="16">
        <f t="shared" si="2"/>
        <v>0</v>
      </c>
      <c r="X7" s="16">
        <f t="shared" si="2"/>
        <v>0</v>
      </c>
      <c r="Y7" s="16">
        <f t="shared" si="2"/>
        <v>0</v>
      </c>
      <c r="Z7" s="16">
        <f t="shared" si="2"/>
        <v>0</v>
      </c>
      <c r="AA7" s="16">
        <f t="shared" si="2"/>
        <v>0</v>
      </c>
      <c r="AB7" s="16">
        <f t="shared" si="2"/>
        <v>0</v>
      </c>
      <c r="AC7" s="16">
        <f t="shared" si="2"/>
        <v>0</v>
      </c>
      <c r="AD7" s="16">
        <f t="shared" si="2"/>
        <v>0</v>
      </c>
      <c r="AE7" s="16">
        <f t="shared" si="2"/>
        <v>0</v>
      </c>
      <c r="AF7" s="16">
        <f t="shared" si="2"/>
        <v>0</v>
      </c>
      <c r="AG7" s="16">
        <f t="shared" si="2"/>
        <v>0</v>
      </c>
      <c r="AH7" s="16">
        <f t="shared" si="2"/>
        <v>0</v>
      </c>
      <c r="AI7" s="16">
        <f t="shared" si="2"/>
        <v>0</v>
      </c>
      <c r="AJ7" s="16">
        <f t="shared" si="2"/>
        <v>0</v>
      </c>
      <c r="AK7" s="16">
        <f t="shared" si="2"/>
        <v>0</v>
      </c>
      <c r="AL7" s="16">
        <f t="shared" si="2"/>
        <v>0</v>
      </c>
      <c r="AM7" s="16">
        <f t="shared" si="2"/>
        <v>0</v>
      </c>
      <c r="AN7" s="16">
        <f t="shared" si="2"/>
        <v>0</v>
      </c>
    </row>
    <row r="8" spans="1:40" x14ac:dyDescent="0.35">
      <c r="A8" s="325" t="s">
        <v>4</v>
      </c>
      <c r="B8" s="325"/>
      <c r="C8" s="1"/>
      <c r="D8" s="1"/>
      <c r="E8" s="17">
        <v>33037860</v>
      </c>
      <c r="F8" s="17">
        <v>35783211</v>
      </c>
      <c r="G8" s="17">
        <v>36327585</v>
      </c>
      <c r="H8" s="17">
        <v>37614826</v>
      </c>
      <c r="I8" s="17">
        <v>42569582</v>
      </c>
      <c r="J8" s="17">
        <v>42751792</v>
      </c>
      <c r="K8" s="17">
        <v>45856155</v>
      </c>
      <c r="L8" s="18">
        <f>L6*0.89</f>
        <v>51741174.390000001</v>
      </c>
      <c r="M8" s="18">
        <v>69585799</v>
      </c>
      <c r="N8" s="17">
        <f>N6*0.89</f>
        <v>69585798.989999995</v>
      </c>
      <c r="O8" s="17">
        <f>O6*0.89</f>
        <v>69585798.989999995</v>
      </c>
      <c r="P8" s="18">
        <f>P6*0.89</f>
        <v>69585798.989999995</v>
      </c>
      <c r="Q8" s="18">
        <f t="shared" ref="Q8:AN8" si="3">Q6*0.89</f>
        <v>70977514.96980001</v>
      </c>
      <c r="R8" s="18">
        <f t="shared" si="3"/>
        <v>70977514.96980001</v>
      </c>
      <c r="S8" s="18">
        <f t="shared" si="3"/>
        <v>70977514.96980001</v>
      </c>
      <c r="T8" s="18">
        <f t="shared" si="3"/>
        <v>70977514.96980001</v>
      </c>
      <c r="U8" s="18">
        <f t="shared" si="3"/>
        <v>70977514.96980001</v>
      </c>
      <c r="V8" s="18">
        <f t="shared" si="3"/>
        <v>70977514.96980001</v>
      </c>
      <c r="W8" s="18">
        <f t="shared" si="3"/>
        <v>70977514.96980001</v>
      </c>
      <c r="X8" s="18">
        <f t="shared" si="3"/>
        <v>70977514.96980001</v>
      </c>
      <c r="Y8" s="18">
        <f t="shared" si="3"/>
        <v>70977514.96980001</v>
      </c>
      <c r="Z8" s="18">
        <f t="shared" si="3"/>
        <v>70977514.96980001</v>
      </c>
      <c r="AA8" s="18">
        <f t="shared" si="3"/>
        <v>70977514.96980001</v>
      </c>
      <c r="AB8" s="18">
        <f t="shared" si="3"/>
        <v>70977514.96980001</v>
      </c>
      <c r="AC8" s="18">
        <f t="shared" si="3"/>
        <v>70977514.96980001</v>
      </c>
      <c r="AD8" s="18">
        <f t="shared" si="3"/>
        <v>70977514.96980001</v>
      </c>
      <c r="AE8" s="18">
        <f t="shared" si="3"/>
        <v>70977514.96980001</v>
      </c>
      <c r="AF8" s="18">
        <f t="shared" si="3"/>
        <v>70977514.96980001</v>
      </c>
      <c r="AG8" s="18">
        <f t="shared" si="3"/>
        <v>70977514.96980001</v>
      </c>
      <c r="AH8" s="18">
        <f t="shared" si="3"/>
        <v>70977514.96980001</v>
      </c>
      <c r="AI8" s="18">
        <f t="shared" si="3"/>
        <v>70977514.96980001</v>
      </c>
      <c r="AJ8" s="18">
        <f t="shared" si="3"/>
        <v>70977514.96980001</v>
      </c>
      <c r="AK8" s="18">
        <f t="shared" si="3"/>
        <v>70977514.96980001</v>
      </c>
      <c r="AL8" s="18">
        <f t="shared" si="3"/>
        <v>70977514.96980001</v>
      </c>
      <c r="AM8" s="18">
        <f t="shared" si="3"/>
        <v>70977514.96980001</v>
      </c>
      <c r="AN8" s="18">
        <f t="shared" si="3"/>
        <v>70977514.96980001</v>
      </c>
    </row>
    <row r="9" spans="1:40" x14ac:dyDescent="0.35">
      <c r="A9" s="325" t="s">
        <v>5</v>
      </c>
      <c r="B9" s="325"/>
      <c r="C9" s="1"/>
      <c r="D9" s="1"/>
      <c r="E9" s="17">
        <v>2096322</v>
      </c>
      <c r="F9" s="17">
        <v>1990707</v>
      </c>
      <c r="G9" s="17">
        <v>1962281</v>
      </c>
      <c r="H9" s="17">
        <v>1948708</v>
      </c>
      <c r="I9" s="17">
        <v>2058071</v>
      </c>
      <c r="J9" s="17">
        <v>1797673</v>
      </c>
      <c r="K9" s="17">
        <v>2198318</v>
      </c>
      <c r="L9" s="18">
        <f>L6*0.03</f>
        <v>1744084.53</v>
      </c>
      <c r="M9" s="18">
        <v>2345589</v>
      </c>
      <c r="N9" s="17">
        <f>N6*0.03</f>
        <v>2345588.73</v>
      </c>
      <c r="O9" s="18">
        <f>O6*0.03</f>
        <v>2345588.73</v>
      </c>
      <c r="P9" s="18">
        <f>P6*0.03</f>
        <v>2345588.73</v>
      </c>
      <c r="Q9" s="18">
        <f t="shared" ref="Q9:AN9" si="4">Q6*0.03</f>
        <v>2392500.5046000001</v>
      </c>
      <c r="R9" s="18">
        <f t="shared" si="4"/>
        <v>2392500.5046000001</v>
      </c>
      <c r="S9" s="18">
        <f t="shared" si="4"/>
        <v>2392500.5046000001</v>
      </c>
      <c r="T9" s="18">
        <f t="shared" si="4"/>
        <v>2392500.5046000001</v>
      </c>
      <c r="U9" s="18">
        <f t="shared" si="4"/>
        <v>2392500.5046000001</v>
      </c>
      <c r="V9" s="18">
        <f t="shared" si="4"/>
        <v>2392500.5046000001</v>
      </c>
      <c r="W9" s="18">
        <f t="shared" si="4"/>
        <v>2392500.5046000001</v>
      </c>
      <c r="X9" s="18">
        <f t="shared" si="4"/>
        <v>2392500.5046000001</v>
      </c>
      <c r="Y9" s="18">
        <f t="shared" si="4"/>
        <v>2392500.5046000001</v>
      </c>
      <c r="Z9" s="18">
        <f t="shared" si="4"/>
        <v>2392500.5046000001</v>
      </c>
      <c r="AA9" s="18">
        <f t="shared" si="4"/>
        <v>2392500.5046000001</v>
      </c>
      <c r="AB9" s="18">
        <f t="shared" si="4"/>
        <v>2392500.5046000001</v>
      </c>
      <c r="AC9" s="18">
        <f t="shared" si="4"/>
        <v>2392500.5046000001</v>
      </c>
      <c r="AD9" s="18">
        <f t="shared" si="4"/>
        <v>2392500.5046000001</v>
      </c>
      <c r="AE9" s="18">
        <f t="shared" si="4"/>
        <v>2392500.5046000001</v>
      </c>
      <c r="AF9" s="18">
        <f t="shared" si="4"/>
        <v>2392500.5046000001</v>
      </c>
      <c r="AG9" s="18">
        <f t="shared" si="4"/>
        <v>2392500.5046000001</v>
      </c>
      <c r="AH9" s="18">
        <f t="shared" si="4"/>
        <v>2392500.5046000001</v>
      </c>
      <c r="AI9" s="18">
        <f t="shared" si="4"/>
        <v>2392500.5046000001</v>
      </c>
      <c r="AJ9" s="18">
        <f t="shared" si="4"/>
        <v>2392500.5046000001</v>
      </c>
      <c r="AK9" s="18">
        <f t="shared" si="4"/>
        <v>2392500.5046000001</v>
      </c>
      <c r="AL9" s="18">
        <f t="shared" si="4"/>
        <v>2392500.5046000001</v>
      </c>
      <c r="AM9" s="18">
        <f t="shared" si="4"/>
        <v>2392500.5046000001</v>
      </c>
      <c r="AN9" s="18">
        <f t="shared" si="4"/>
        <v>2392500.5046000001</v>
      </c>
    </row>
    <row r="10" spans="1:40" x14ac:dyDescent="0.35">
      <c r="A10" s="325" t="s">
        <v>6</v>
      </c>
      <c r="B10" s="325"/>
      <c r="C10" s="1"/>
      <c r="D10" s="1"/>
      <c r="E10" s="17">
        <v>2856111</v>
      </c>
      <c r="F10" s="17">
        <v>3023353</v>
      </c>
      <c r="G10" s="17">
        <v>3049219</v>
      </c>
      <c r="H10" s="17">
        <v>3389111</v>
      </c>
      <c r="I10" s="17">
        <v>3607793</v>
      </c>
      <c r="J10" s="17">
        <v>3134620</v>
      </c>
      <c r="K10" s="17">
        <v>3385507</v>
      </c>
      <c r="L10" s="18">
        <f>L6*0.05</f>
        <v>2906807.5500000003</v>
      </c>
      <c r="M10" s="18">
        <v>3909315</v>
      </c>
      <c r="N10" s="17">
        <f>N6*0.05</f>
        <v>3909314.5500000003</v>
      </c>
      <c r="O10" s="18">
        <f>O6*0.05</f>
        <v>3909314.5500000003</v>
      </c>
      <c r="P10" s="18">
        <f>P6*0.05</f>
        <v>3909314.5500000003</v>
      </c>
      <c r="Q10" s="18">
        <f t="shared" ref="Q10:AN10" si="5">Q6*0.05</f>
        <v>3987500.8410000005</v>
      </c>
      <c r="R10" s="18">
        <f t="shared" si="5"/>
        <v>3987500.8410000005</v>
      </c>
      <c r="S10" s="18">
        <f t="shared" si="5"/>
        <v>3987500.8410000005</v>
      </c>
      <c r="T10" s="18">
        <f t="shared" si="5"/>
        <v>3987500.8410000005</v>
      </c>
      <c r="U10" s="18">
        <f t="shared" si="5"/>
        <v>3987500.8410000005</v>
      </c>
      <c r="V10" s="18">
        <f t="shared" si="5"/>
        <v>3987500.8410000005</v>
      </c>
      <c r="W10" s="18">
        <f t="shared" si="5"/>
        <v>3987500.8410000005</v>
      </c>
      <c r="X10" s="18">
        <f t="shared" si="5"/>
        <v>3987500.8410000005</v>
      </c>
      <c r="Y10" s="18">
        <f t="shared" si="5"/>
        <v>3987500.8410000005</v>
      </c>
      <c r="Z10" s="18">
        <f t="shared" si="5"/>
        <v>3987500.8410000005</v>
      </c>
      <c r="AA10" s="18">
        <f t="shared" si="5"/>
        <v>3987500.8410000005</v>
      </c>
      <c r="AB10" s="18">
        <f t="shared" si="5"/>
        <v>3987500.8410000005</v>
      </c>
      <c r="AC10" s="18">
        <f t="shared" si="5"/>
        <v>3987500.8410000005</v>
      </c>
      <c r="AD10" s="18">
        <f t="shared" si="5"/>
        <v>3987500.8410000005</v>
      </c>
      <c r="AE10" s="18">
        <f t="shared" si="5"/>
        <v>3987500.8410000005</v>
      </c>
      <c r="AF10" s="18">
        <f t="shared" si="5"/>
        <v>3987500.8410000005</v>
      </c>
      <c r="AG10" s="18">
        <f t="shared" si="5"/>
        <v>3987500.8410000005</v>
      </c>
      <c r="AH10" s="18">
        <f t="shared" si="5"/>
        <v>3987500.8410000005</v>
      </c>
      <c r="AI10" s="18">
        <f t="shared" si="5"/>
        <v>3987500.8410000005</v>
      </c>
      <c r="AJ10" s="18">
        <f t="shared" si="5"/>
        <v>3987500.8410000005</v>
      </c>
      <c r="AK10" s="18">
        <f t="shared" si="5"/>
        <v>3987500.8410000005</v>
      </c>
      <c r="AL10" s="18">
        <f t="shared" si="5"/>
        <v>3987500.8410000005</v>
      </c>
      <c r="AM10" s="18">
        <f t="shared" si="5"/>
        <v>3987500.8410000005</v>
      </c>
      <c r="AN10" s="18">
        <f t="shared" si="5"/>
        <v>3987500.8410000005</v>
      </c>
    </row>
    <row r="11" spans="1:40" x14ac:dyDescent="0.35">
      <c r="A11" s="325" t="s">
        <v>7</v>
      </c>
      <c r="B11" s="325"/>
      <c r="C11" s="1"/>
      <c r="D11" s="1"/>
      <c r="E11" s="17">
        <v>1167261</v>
      </c>
      <c r="F11" s="17">
        <v>1144132</v>
      </c>
      <c r="G11" s="17">
        <v>1127139</v>
      </c>
      <c r="H11" s="17">
        <v>1149833</v>
      </c>
      <c r="I11" s="17">
        <v>1169309</v>
      </c>
      <c r="J11" s="17">
        <v>2109981</v>
      </c>
      <c r="K11" s="17">
        <v>4827740</v>
      </c>
      <c r="L11" s="18">
        <f>L6*0.03</f>
        <v>1744084.53</v>
      </c>
      <c r="M11" s="18">
        <v>2345589</v>
      </c>
      <c r="N11" s="17">
        <f>N6*0.03</f>
        <v>2345588.73</v>
      </c>
      <c r="O11" s="18">
        <f>O6*0.03</f>
        <v>2345588.73</v>
      </c>
      <c r="P11" s="18">
        <f>P6*0.03</f>
        <v>2345588.73</v>
      </c>
      <c r="Q11" s="18">
        <f t="shared" ref="Q11:AN11" si="6">Q6*0.03</f>
        <v>2392500.5046000001</v>
      </c>
      <c r="R11" s="18">
        <f t="shared" si="6"/>
        <v>2392500.5046000001</v>
      </c>
      <c r="S11" s="18">
        <f t="shared" si="6"/>
        <v>2392500.5046000001</v>
      </c>
      <c r="T11" s="18">
        <f t="shared" si="6"/>
        <v>2392500.5046000001</v>
      </c>
      <c r="U11" s="18">
        <f t="shared" si="6"/>
        <v>2392500.5046000001</v>
      </c>
      <c r="V11" s="18">
        <f t="shared" si="6"/>
        <v>2392500.5046000001</v>
      </c>
      <c r="W11" s="18">
        <f t="shared" si="6"/>
        <v>2392500.5046000001</v>
      </c>
      <c r="X11" s="18">
        <f t="shared" si="6"/>
        <v>2392500.5046000001</v>
      </c>
      <c r="Y11" s="18">
        <f t="shared" si="6"/>
        <v>2392500.5046000001</v>
      </c>
      <c r="Z11" s="18">
        <f t="shared" si="6"/>
        <v>2392500.5046000001</v>
      </c>
      <c r="AA11" s="18">
        <f t="shared" si="6"/>
        <v>2392500.5046000001</v>
      </c>
      <c r="AB11" s="18">
        <f t="shared" si="6"/>
        <v>2392500.5046000001</v>
      </c>
      <c r="AC11" s="18">
        <f t="shared" si="6"/>
        <v>2392500.5046000001</v>
      </c>
      <c r="AD11" s="18">
        <f t="shared" si="6"/>
        <v>2392500.5046000001</v>
      </c>
      <c r="AE11" s="18">
        <f t="shared" si="6"/>
        <v>2392500.5046000001</v>
      </c>
      <c r="AF11" s="18">
        <f t="shared" si="6"/>
        <v>2392500.5046000001</v>
      </c>
      <c r="AG11" s="18">
        <f t="shared" si="6"/>
        <v>2392500.5046000001</v>
      </c>
      <c r="AH11" s="18">
        <f t="shared" si="6"/>
        <v>2392500.5046000001</v>
      </c>
      <c r="AI11" s="18">
        <f t="shared" si="6"/>
        <v>2392500.5046000001</v>
      </c>
      <c r="AJ11" s="18">
        <f t="shared" si="6"/>
        <v>2392500.5046000001</v>
      </c>
      <c r="AK11" s="18">
        <f t="shared" si="6"/>
        <v>2392500.5046000001</v>
      </c>
      <c r="AL11" s="18">
        <f t="shared" si="6"/>
        <v>2392500.5046000001</v>
      </c>
      <c r="AM11" s="18">
        <f t="shared" si="6"/>
        <v>2392500.5046000001</v>
      </c>
      <c r="AN11" s="18">
        <f t="shared" si="6"/>
        <v>2392500.5046000001</v>
      </c>
    </row>
    <row r="12" spans="1:40" x14ac:dyDescent="0.35">
      <c r="A12" s="327"/>
      <c r="B12" s="327"/>
      <c r="C12" s="1"/>
      <c r="D12" s="1"/>
      <c r="E12" s="17"/>
      <c r="F12" s="17"/>
      <c r="G12" s="17"/>
      <c r="H12" s="17"/>
      <c r="I12" s="17"/>
      <c r="J12" s="17"/>
      <c r="K12" s="1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</row>
    <row r="13" spans="1:40" x14ac:dyDescent="0.35">
      <c r="A13" s="81" t="s">
        <v>8</v>
      </c>
      <c r="B13" s="81"/>
      <c r="C13" s="9"/>
      <c r="D13" s="9"/>
      <c r="E13" s="10">
        <f t="shared" ref="E13:J13" si="7">E14+E18+E22+E26+E30+E34</f>
        <v>34697318</v>
      </c>
      <c r="F13" s="10">
        <f t="shared" si="7"/>
        <v>38523506</v>
      </c>
      <c r="G13" s="10">
        <f t="shared" si="7"/>
        <v>39251629</v>
      </c>
      <c r="H13" s="10">
        <f t="shared" si="7"/>
        <v>40981146</v>
      </c>
      <c r="I13" s="10">
        <f t="shared" si="7"/>
        <v>46733173</v>
      </c>
      <c r="J13" s="10">
        <f t="shared" si="7"/>
        <v>47203579</v>
      </c>
      <c r="K13" s="10">
        <f t="shared" ref="K13:AN13" si="8">K14++K18+K22+K26+K30+K34</f>
        <v>53726491.740000002</v>
      </c>
      <c r="L13" s="10">
        <f>L14+L18+L22+L26+L30+L34</f>
        <v>54629269.792000003</v>
      </c>
      <c r="M13" s="10">
        <f t="shared" si="8"/>
        <v>75616970.862399995</v>
      </c>
      <c r="N13" s="10">
        <f t="shared" si="8"/>
        <v>73354627.456799999</v>
      </c>
      <c r="O13" s="10">
        <f t="shared" si="8"/>
        <v>75357522.854136005</v>
      </c>
      <c r="P13" s="10">
        <f t="shared" si="8"/>
        <v>77379244.352886707</v>
      </c>
      <c r="Q13" s="10">
        <f t="shared" si="8"/>
        <v>76497189.104311317</v>
      </c>
      <c r="R13" s="10">
        <f t="shared" si="8"/>
        <v>75583940.86868988</v>
      </c>
      <c r="S13" s="10">
        <f t="shared" si="8"/>
        <v>75583940.86868988</v>
      </c>
      <c r="T13" s="10">
        <f t="shared" si="8"/>
        <v>75583940.86868988</v>
      </c>
      <c r="U13" s="10">
        <f t="shared" si="8"/>
        <v>75583940.86868988</v>
      </c>
      <c r="V13" s="10">
        <f t="shared" si="8"/>
        <v>75583940.86868988</v>
      </c>
      <c r="W13" s="10">
        <f t="shared" si="8"/>
        <v>75583940.86868988</v>
      </c>
      <c r="X13" s="10">
        <f t="shared" si="8"/>
        <v>75583940.86868988</v>
      </c>
      <c r="Y13" s="10">
        <f t="shared" si="8"/>
        <v>75583940.86868988</v>
      </c>
      <c r="Z13" s="10">
        <f t="shared" si="8"/>
        <v>75583940.86868988</v>
      </c>
      <c r="AA13" s="10">
        <f t="shared" si="8"/>
        <v>75583940.86868988</v>
      </c>
      <c r="AB13" s="10">
        <f t="shared" si="8"/>
        <v>75583940.86868988</v>
      </c>
      <c r="AC13" s="10">
        <f t="shared" si="8"/>
        <v>75583940.86868988</v>
      </c>
      <c r="AD13" s="10">
        <f t="shared" si="8"/>
        <v>75583940.86868988</v>
      </c>
      <c r="AE13" s="10">
        <f t="shared" si="8"/>
        <v>75583940.86868988</v>
      </c>
      <c r="AF13" s="10">
        <f t="shared" si="8"/>
        <v>75583940.86868988</v>
      </c>
      <c r="AG13" s="10">
        <f t="shared" si="8"/>
        <v>75583940.86868988</v>
      </c>
      <c r="AH13" s="10">
        <f t="shared" si="8"/>
        <v>75583940.86868988</v>
      </c>
      <c r="AI13" s="10">
        <f t="shared" si="8"/>
        <v>75583940.86868988</v>
      </c>
      <c r="AJ13" s="10">
        <f t="shared" si="8"/>
        <v>75583940.86868988</v>
      </c>
      <c r="AK13" s="10">
        <f t="shared" si="8"/>
        <v>75583940.86868988</v>
      </c>
      <c r="AL13" s="10">
        <f t="shared" si="8"/>
        <v>75583940.86868988</v>
      </c>
      <c r="AM13" s="10">
        <f t="shared" si="8"/>
        <v>75583940.86868988</v>
      </c>
      <c r="AN13" s="10">
        <f t="shared" si="8"/>
        <v>75583940.86868988</v>
      </c>
    </row>
    <row r="14" spans="1:40" x14ac:dyDescent="0.35">
      <c r="A14" s="1" t="s">
        <v>9</v>
      </c>
      <c r="B14" s="1"/>
      <c r="C14" s="1"/>
      <c r="D14" s="1"/>
      <c r="E14" s="17">
        <v>8235933</v>
      </c>
      <c r="F14" s="17">
        <v>9569309</v>
      </c>
      <c r="G14" s="17">
        <v>9869394</v>
      </c>
      <c r="H14" s="17">
        <v>9515445</v>
      </c>
      <c r="I14" s="17">
        <v>10618026</v>
      </c>
      <c r="J14" s="17">
        <v>8684693</v>
      </c>
      <c r="K14" s="17">
        <v>10973194</v>
      </c>
      <c r="L14" s="17">
        <f>'Výpočty-náklady'!L136</f>
        <v>9330994.7920000013</v>
      </c>
      <c r="M14" s="17">
        <f>'Výpočty-náklady'!M136</f>
        <v>13980306.9024</v>
      </c>
      <c r="N14" s="17">
        <f>'Výpočty-náklady'!N136</f>
        <v>10485230.1768</v>
      </c>
      <c r="O14" s="17">
        <f>'Výpočty-náklady'!O136</f>
        <v>10694934.780336</v>
      </c>
      <c r="P14" s="17">
        <f>'Výpočty-náklady'!P136</f>
        <v>10908833.475942718</v>
      </c>
      <c r="Q14" s="17">
        <f>'Výpočty-náklady'!Q136</f>
        <v>11137918.978937518</v>
      </c>
      <c r="R14" s="17">
        <f>'Výpočty-náklady'!R136</f>
        <v>11137918.978937518</v>
      </c>
      <c r="S14" s="17">
        <f>'Výpočty-náklady'!S136</f>
        <v>11137918.978937518</v>
      </c>
      <c r="T14" s="17">
        <f>'Výpočty-náklady'!T136</f>
        <v>11137918.978937518</v>
      </c>
      <c r="U14" s="17">
        <f>'Výpočty-náklady'!U136</f>
        <v>11137918.978937518</v>
      </c>
      <c r="V14" s="17">
        <f>'Výpočty-náklady'!V136</f>
        <v>11137918.978937518</v>
      </c>
      <c r="W14" s="17">
        <f>'Výpočty-náklady'!W136</f>
        <v>11137918.978937518</v>
      </c>
      <c r="X14" s="17">
        <f>'Výpočty-náklady'!X136</f>
        <v>11137918.978937518</v>
      </c>
      <c r="Y14" s="17">
        <f>'Výpočty-náklady'!Y136</f>
        <v>11137918.978937518</v>
      </c>
      <c r="Z14" s="17">
        <f>'Výpočty-náklady'!Z136</f>
        <v>11137918.978937518</v>
      </c>
      <c r="AA14" s="17">
        <f>'Výpočty-náklady'!AA136</f>
        <v>11137918.978937518</v>
      </c>
      <c r="AB14" s="17">
        <f>'Výpočty-náklady'!AB136</f>
        <v>11137918.978937518</v>
      </c>
      <c r="AC14" s="17">
        <f>'Výpočty-náklady'!AC136</f>
        <v>11137918.978937518</v>
      </c>
      <c r="AD14" s="17">
        <f>'Výpočty-náklady'!AD136</f>
        <v>11137918.978937518</v>
      </c>
      <c r="AE14" s="17">
        <f>'Výpočty-náklady'!AE136</f>
        <v>11137918.978937518</v>
      </c>
      <c r="AF14" s="17">
        <f>'Výpočty-náklady'!AF136</f>
        <v>11137918.978937518</v>
      </c>
      <c r="AG14" s="17">
        <f>'Výpočty-náklady'!AG136</f>
        <v>11137918.978937518</v>
      </c>
      <c r="AH14" s="17">
        <f>'Výpočty-náklady'!AH136</f>
        <v>11137918.978937518</v>
      </c>
      <c r="AI14" s="17">
        <f>'Výpočty-náklady'!AI136</f>
        <v>11137918.978937518</v>
      </c>
      <c r="AJ14" s="17">
        <f>'Výpočty-náklady'!AJ136</f>
        <v>11137918.978937518</v>
      </c>
      <c r="AK14" s="17">
        <f>'Výpočty-náklady'!AK136</f>
        <v>11137918.978937518</v>
      </c>
      <c r="AL14" s="17">
        <f>'Výpočty-náklady'!AL136</f>
        <v>11137918.978937518</v>
      </c>
      <c r="AM14" s="17">
        <f>'Výpočty-náklady'!AM136</f>
        <v>11137918.978937518</v>
      </c>
      <c r="AN14" s="17">
        <f>'Výpočty-náklady'!AN136</f>
        <v>11137918.978937518</v>
      </c>
    </row>
    <row r="15" spans="1:40" x14ac:dyDescent="0.35">
      <c r="A15" s="19" t="s">
        <v>10</v>
      </c>
      <c r="B15" s="19"/>
      <c r="C15" s="20"/>
      <c r="D15" s="1"/>
      <c r="E15" s="21">
        <f t="shared" ref="E15:AN15" si="9">E14/E13</f>
        <v>0.23736511853740397</v>
      </c>
      <c r="F15" s="21">
        <f t="shared" si="9"/>
        <v>0.2484018199174291</v>
      </c>
      <c r="G15" s="21">
        <f t="shared" si="9"/>
        <v>0.25143909313929363</v>
      </c>
      <c r="H15" s="21">
        <f t="shared" si="9"/>
        <v>0.23219079817826471</v>
      </c>
      <c r="I15" s="21">
        <f t="shared" si="9"/>
        <v>0.22720533014096861</v>
      </c>
      <c r="J15" s="21">
        <f t="shared" si="9"/>
        <v>0.18398378224668091</v>
      </c>
      <c r="K15" s="21">
        <f t="shared" si="9"/>
        <v>0.20424177430201215</v>
      </c>
      <c r="L15" s="21">
        <f t="shared" si="9"/>
        <v>0.17080577550327145</v>
      </c>
      <c r="M15" s="21">
        <f t="shared" si="9"/>
        <v>0.18488319147086607</v>
      </c>
      <c r="N15" s="21">
        <f t="shared" si="9"/>
        <v>0.14293890570127918</v>
      </c>
      <c r="O15" s="21">
        <f t="shared" si="9"/>
        <v>0.14192258948104486</v>
      </c>
      <c r="P15" s="21">
        <f t="shared" si="9"/>
        <v>0.14097880597273826</v>
      </c>
      <c r="Q15" s="21">
        <f t="shared" si="9"/>
        <v>0.14559906199625045</v>
      </c>
      <c r="R15" s="21">
        <f t="shared" si="9"/>
        <v>0.14735827281468628</v>
      </c>
      <c r="S15" s="21">
        <f t="shared" si="9"/>
        <v>0.14735827281468628</v>
      </c>
      <c r="T15" s="21">
        <f t="shared" si="9"/>
        <v>0.14735827281468628</v>
      </c>
      <c r="U15" s="21">
        <f t="shared" si="9"/>
        <v>0.14735827281468628</v>
      </c>
      <c r="V15" s="21">
        <f t="shared" si="9"/>
        <v>0.14735827281468628</v>
      </c>
      <c r="W15" s="21">
        <f t="shared" si="9"/>
        <v>0.14735827281468628</v>
      </c>
      <c r="X15" s="21">
        <f t="shared" si="9"/>
        <v>0.14735827281468628</v>
      </c>
      <c r="Y15" s="21">
        <f t="shared" si="9"/>
        <v>0.14735827281468628</v>
      </c>
      <c r="Z15" s="21">
        <f t="shared" si="9"/>
        <v>0.14735827281468628</v>
      </c>
      <c r="AA15" s="21">
        <f t="shared" si="9"/>
        <v>0.14735827281468628</v>
      </c>
      <c r="AB15" s="21">
        <f t="shared" si="9"/>
        <v>0.14735827281468628</v>
      </c>
      <c r="AC15" s="21">
        <f t="shared" si="9"/>
        <v>0.14735827281468628</v>
      </c>
      <c r="AD15" s="21">
        <f t="shared" si="9"/>
        <v>0.14735827281468628</v>
      </c>
      <c r="AE15" s="21">
        <f t="shared" si="9"/>
        <v>0.14735827281468628</v>
      </c>
      <c r="AF15" s="21">
        <f t="shared" si="9"/>
        <v>0.14735827281468628</v>
      </c>
      <c r="AG15" s="21">
        <f t="shared" si="9"/>
        <v>0.14735827281468628</v>
      </c>
      <c r="AH15" s="21">
        <f t="shared" si="9"/>
        <v>0.14735827281468628</v>
      </c>
      <c r="AI15" s="21">
        <f t="shared" si="9"/>
        <v>0.14735827281468628</v>
      </c>
      <c r="AJ15" s="21">
        <f t="shared" si="9"/>
        <v>0.14735827281468628</v>
      </c>
      <c r="AK15" s="21">
        <f t="shared" si="9"/>
        <v>0.14735827281468628</v>
      </c>
      <c r="AL15" s="21">
        <f t="shared" si="9"/>
        <v>0.14735827281468628</v>
      </c>
      <c r="AM15" s="21">
        <f t="shared" si="9"/>
        <v>0.14735827281468628</v>
      </c>
      <c r="AN15" s="21">
        <f t="shared" si="9"/>
        <v>0.14735827281468628</v>
      </c>
    </row>
    <row r="16" spans="1:40" x14ac:dyDescent="0.35">
      <c r="A16" s="19" t="s">
        <v>64</v>
      </c>
      <c r="B16" s="19"/>
      <c r="C16" s="20"/>
      <c r="D16" s="1"/>
      <c r="E16" s="80" t="s">
        <v>3</v>
      </c>
      <c r="F16" s="15">
        <f t="shared" ref="F16:AN16" si="10">(F14-E14)/E14</f>
        <v>0.16189738308944476</v>
      </c>
      <c r="G16" s="15">
        <f t="shared" si="10"/>
        <v>3.1359108583493334E-2</v>
      </c>
      <c r="H16" s="15">
        <f t="shared" si="10"/>
        <v>-3.5863296165904411E-2</v>
      </c>
      <c r="I16" s="15">
        <f t="shared" si="10"/>
        <v>0.11587277315984697</v>
      </c>
      <c r="J16" s="15">
        <f t="shared" si="10"/>
        <v>-0.1820802661436316</v>
      </c>
      <c r="K16" s="15">
        <f t="shared" si="10"/>
        <v>0.26350971761465836</v>
      </c>
      <c r="L16" s="15">
        <f t="shared" si="10"/>
        <v>-0.14965553402227269</v>
      </c>
      <c r="M16" s="15">
        <f t="shared" si="10"/>
        <v>0.49826542764616283</v>
      </c>
      <c r="N16" s="15">
        <f t="shared" si="10"/>
        <v>-0.25000000000000006</v>
      </c>
      <c r="O16" s="15">
        <f t="shared" si="10"/>
        <v>2.0000000000000046E-2</v>
      </c>
      <c r="P16" s="15">
        <f t="shared" si="10"/>
        <v>1.9999999999999799E-2</v>
      </c>
      <c r="Q16" s="15">
        <f t="shared" si="10"/>
        <v>2.1000000000000268E-2</v>
      </c>
      <c r="R16" s="15">
        <f t="shared" si="10"/>
        <v>0</v>
      </c>
      <c r="S16" s="15">
        <f t="shared" si="10"/>
        <v>0</v>
      </c>
      <c r="T16" s="15">
        <f t="shared" si="10"/>
        <v>0</v>
      </c>
      <c r="U16" s="15">
        <f t="shared" si="10"/>
        <v>0</v>
      </c>
      <c r="V16" s="15">
        <f t="shared" si="10"/>
        <v>0</v>
      </c>
      <c r="W16" s="15">
        <f t="shared" si="10"/>
        <v>0</v>
      </c>
      <c r="X16" s="15">
        <f t="shared" si="10"/>
        <v>0</v>
      </c>
      <c r="Y16" s="15">
        <f t="shared" si="10"/>
        <v>0</v>
      </c>
      <c r="Z16" s="15">
        <f t="shared" si="10"/>
        <v>0</v>
      </c>
      <c r="AA16" s="15">
        <f t="shared" si="10"/>
        <v>0</v>
      </c>
      <c r="AB16" s="15">
        <f t="shared" si="10"/>
        <v>0</v>
      </c>
      <c r="AC16" s="15">
        <f t="shared" si="10"/>
        <v>0</v>
      </c>
      <c r="AD16" s="15">
        <f t="shared" si="10"/>
        <v>0</v>
      </c>
      <c r="AE16" s="15">
        <f t="shared" si="10"/>
        <v>0</v>
      </c>
      <c r="AF16" s="15">
        <f t="shared" si="10"/>
        <v>0</v>
      </c>
      <c r="AG16" s="15">
        <f t="shared" si="10"/>
        <v>0</v>
      </c>
      <c r="AH16" s="15">
        <f t="shared" si="10"/>
        <v>0</v>
      </c>
      <c r="AI16" s="15">
        <f t="shared" si="10"/>
        <v>0</v>
      </c>
      <c r="AJ16" s="15">
        <f t="shared" si="10"/>
        <v>0</v>
      </c>
      <c r="AK16" s="15">
        <f t="shared" si="10"/>
        <v>0</v>
      </c>
      <c r="AL16" s="15">
        <f t="shared" si="10"/>
        <v>0</v>
      </c>
      <c r="AM16" s="15">
        <f t="shared" si="10"/>
        <v>0</v>
      </c>
      <c r="AN16" s="15">
        <f t="shared" si="10"/>
        <v>0</v>
      </c>
    </row>
    <row r="17" spans="1:40" x14ac:dyDescent="0.35">
      <c r="A17" s="23"/>
      <c r="B17" s="24"/>
      <c r="C17" s="1"/>
      <c r="D17" s="1"/>
      <c r="E17" s="30"/>
      <c r="F17" s="30"/>
      <c r="G17" s="30"/>
      <c r="H17" s="31"/>
      <c r="I17" s="32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</row>
    <row r="18" spans="1:40" x14ac:dyDescent="0.35">
      <c r="A18" s="1" t="s">
        <v>20</v>
      </c>
      <c r="B18" s="1"/>
      <c r="C18" s="1"/>
      <c r="D18" s="1"/>
      <c r="E18" s="17">
        <v>894342</v>
      </c>
      <c r="F18" s="17">
        <v>826176</v>
      </c>
      <c r="G18" s="17">
        <v>789479</v>
      </c>
      <c r="H18" s="17">
        <v>829632</v>
      </c>
      <c r="I18" s="17">
        <v>990433</v>
      </c>
      <c r="J18" s="17">
        <v>908070</v>
      </c>
      <c r="K18" s="17">
        <v>938139</v>
      </c>
      <c r="L18" s="17">
        <f>'Výpočty-náklady'!L149</f>
        <v>2479749</v>
      </c>
      <c r="M18" s="17">
        <f>'Výpočty-náklady'!M149</f>
        <v>3550913</v>
      </c>
      <c r="N18" s="17">
        <f>'Výpočty-náklady'!N149</f>
        <v>3621931.2600000002</v>
      </c>
      <c r="O18" s="17">
        <f>'Výpočty-náklady'!O149</f>
        <v>3730589.1978000002</v>
      </c>
      <c r="P18" s="17">
        <f>'Výpočty-náklady'!P149</f>
        <v>3805200.9817560003</v>
      </c>
      <c r="Q18" s="17">
        <f>'Výpočty-náklady'!Q149</f>
        <v>1522080.3927024002</v>
      </c>
      <c r="R18" s="17">
        <f>'Výpočty-náklady'!R149</f>
        <v>608832.15708096011</v>
      </c>
      <c r="S18" s="17">
        <f>'Výpočty-náklady'!S149</f>
        <v>608832.15708096011</v>
      </c>
      <c r="T18" s="17">
        <f>'Výpočty-náklady'!T149</f>
        <v>608832.15708096011</v>
      </c>
      <c r="U18" s="17">
        <f>'Výpočty-náklady'!U149</f>
        <v>608832.15708096011</v>
      </c>
      <c r="V18" s="17">
        <f>'Výpočty-náklady'!V149</f>
        <v>608832.15708096011</v>
      </c>
      <c r="W18" s="17">
        <f>'Výpočty-náklady'!W149</f>
        <v>608832.15708096011</v>
      </c>
      <c r="X18" s="17">
        <f>'Výpočty-náklady'!X149</f>
        <v>608832.15708096011</v>
      </c>
      <c r="Y18" s="17">
        <f>'Výpočty-náklady'!Y149</f>
        <v>608832.15708096011</v>
      </c>
      <c r="Z18" s="17">
        <f>'Výpočty-náklady'!Z149</f>
        <v>608832.15708096011</v>
      </c>
      <c r="AA18" s="17">
        <f>'Výpočty-náklady'!AA149</f>
        <v>608832.15708096011</v>
      </c>
      <c r="AB18" s="17">
        <f>'Výpočty-náklady'!AB149</f>
        <v>608832.15708096011</v>
      </c>
      <c r="AC18" s="17">
        <f>'Výpočty-náklady'!AC149</f>
        <v>608832.15708096011</v>
      </c>
      <c r="AD18" s="17">
        <f>'Výpočty-náklady'!AD149</f>
        <v>608832.15708096011</v>
      </c>
      <c r="AE18" s="17">
        <f>'Výpočty-náklady'!AE149</f>
        <v>608832.15708096011</v>
      </c>
      <c r="AF18" s="17">
        <f>'Výpočty-náklady'!AF149</f>
        <v>608832.15708096011</v>
      </c>
      <c r="AG18" s="17">
        <f>'Výpočty-náklady'!AG149</f>
        <v>608832.15708096011</v>
      </c>
      <c r="AH18" s="17">
        <f>'Výpočty-náklady'!AH149</f>
        <v>608832.15708096011</v>
      </c>
      <c r="AI18" s="17">
        <f>'Výpočty-náklady'!AI149</f>
        <v>608832.15708096011</v>
      </c>
      <c r="AJ18" s="17">
        <f>'Výpočty-náklady'!AJ149</f>
        <v>608832.15708096011</v>
      </c>
      <c r="AK18" s="17">
        <f>'Výpočty-náklady'!AK149</f>
        <v>608832.15708096011</v>
      </c>
      <c r="AL18" s="17">
        <f>'Výpočty-náklady'!AL149</f>
        <v>608832.15708096011</v>
      </c>
      <c r="AM18" s="17">
        <f>'Výpočty-náklady'!AM149</f>
        <v>608832.15708096011</v>
      </c>
      <c r="AN18" s="17">
        <f>'Výpočty-náklady'!AN149</f>
        <v>608832.15708096011</v>
      </c>
    </row>
    <row r="19" spans="1:40" x14ac:dyDescent="0.35">
      <c r="A19" s="19" t="s">
        <v>21</v>
      </c>
      <c r="B19" s="19"/>
      <c r="C19" s="19"/>
      <c r="D19" s="1"/>
      <c r="E19" s="21">
        <f t="shared" ref="E19:AN19" si="11">E18/E13</f>
        <v>2.5775536887317919E-2</v>
      </c>
      <c r="F19" s="21">
        <f t="shared" si="11"/>
        <v>2.1446023111188272E-2</v>
      </c>
      <c r="G19" s="21">
        <f t="shared" si="11"/>
        <v>2.0113279884511288E-2</v>
      </c>
      <c r="H19" s="21">
        <f t="shared" si="11"/>
        <v>2.0244236215356204E-2</v>
      </c>
      <c r="I19" s="21">
        <f t="shared" si="11"/>
        <v>2.1193360870232374E-2</v>
      </c>
      <c r="J19" s="21">
        <f t="shared" si="11"/>
        <v>1.9237312492766702E-2</v>
      </c>
      <c r="K19" s="21">
        <f t="shared" si="11"/>
        <v>1.7461385800881253E-2</v>
      </c>
      <c r="L19" s="21">
        <f t="shared" si="11"/>
        <v>4.5392314585964655E-2</v>
      </c>
      <c r="M19" s="21">
        <f t="shared" si="11"/>
        <v>4.6959207166094856E-2</v>
      </c>
      <c r="N19" s="21">
        <f t="shared" si="11"/>
        <v>4.9375634306547705E-2</v>
      </c>
      <c r="O19" s="21">
        <f t="shared" si="11"/>
        <v>4.9505199434713723E-2</v>
      </c>
      <c r="P19" s="21">
        <f t="shared" si="11"/>
        <v>4.9175990455559981E-2</v>
      </c>
      <c r="Q19" s="21">
        <f t="shared" si="11"/>
        <v>1.9897206819284516E-2</v>
      </c>
      <c r="R19" s="21">
        <f t="shared" si="11"/>
        <v>8.0550464832029496E-3</v>
      </c>
      <c r="S19" s="21">
        <f t="shared" si="11"/>
        <v>8.0550464832029496E-3</v>
      </c>
      <c r="T19" s="21">
        <f t="shared" si="11"/>
        <v>8.0550464832029496E-3</v>
      </c>
      <c r="U19" s="21">
        <f t="shared" si="11"/>
        <v>8.0550464832029496E-3</v>
      </c>
      <c r="V19" s="21">
        <f t="shared" si="11"/>
        <v>8.0550464832029496E-3</v>
      </c>
      <c r="W19" s="21">
        <f t="shared" si="11"/>
        <v>8.0550464832029496E-3</v>
      </c>
      <c r="X19" s="21">
        <f t="shared" si="11"/>
        <v>8.0550464832029496E-3</v>
      </c>
      <c r="Y19" s="21">
        <f t="shared" si="11"/>
        <v>8.0550464832029496E-3</v>
      </c>
      <c r="Z19" s="21">
        <f t="shared" si="11"/>
        <v>8.0550464832029496E-3</v>
      </c>
      <c r="AA19" s="21">
        <f t="shared" si="11"/>
        <v>8.0550464832029496E-3</v>
      </c>
      <c r="AB19" s="21">
        <f t="shared" si="11"/>
        <v>8.0550464832029496E-3</v>
      </c>
      <c r="AC19" s="21">
        <f t="shared" si="11"/>
        <v>8.0550464832029496E-3</v>
      </c>
      <c r="AD19" s="21">
        <f t="shared" si="11"/>
        <v>8.0550464832029496E-3</v>
      </c>
      <c r="AE19" s="21">
        <f t="shared" si="11"/>
        <v>8.0550464832029496E-3</v>
      </c>
      <c r="AF19" s="21">
        <f t="shared" si="11"/>
        <v>8.0550464832029496E-3</v>
      </c>
      <c r="AG19" s="21">
        <f t="shared" si="11"/>
        <v>8.0550464832029496E-3</v>
      </c>
      <c r="AH19" s="21">
        <f t="shared" si="11"/>
        <v>8.0550464832029496E-3</v>
      </c>
      <c r="AI19" s="21">
        <f t="shared" si="11"/>
        <v>8.0550464832029496E-3</v>
      </c>
      <c r="AJ19" s="21">
        <f t="shared" si="11"/>
        <v>8.0550464832029496E-3</v>
      </c>
      <c r="AK19" s="21">
        <f t="shared" si="11"/>
        <v>8.0550464832029496E-3</v>
      </c>
      <c r="AL19" s="21">
        <f t="shared" si="11"/>
        <v>8.0550464832029496E-3</v>
      </c>
      <c r="AM19" s="21">
        <f t="shared" si="11"/>
        <v>8.0550464832029496E-3</v>
      </c>
      <c r="AN19" s="21">
        <f t="shared" si="11"/>
        <v>8.0550464832029496E-3</v>
      </c>
    </row>
    <row r="20" spans="1:40" x14ac:dyDescent="0.35">
      <c r="A20" s="19" t="s">
        <v>65</v>
      </c>
      <c r="B20" s="1"/>
      <c r="C20" s="1"/>
      <c r="D20" s="1"/>
      <c r="E20" s="80" t="s">
        <v>3</v>
      </c>
      <c r="F20" s="15">
        <f t="shared" ref="F20:AN20" si="12">(F18-E18)/E18</f>
        <v>-7.6219164480702012E-2</v>
      </c>
      <c r="G20" s="15">
        <f t="shared" si="12"/>
        <v>-4.4417896428848087E-2</v>
      </c>
      <c r="H20" s="15">
        <f t="shared" si="12"/>
        <v>5.0860124208496997E-2</v>
      </c>
      <c r="I20" s="15">
        <f t="shared" si="12"/>
        <v>0.19382208015119956</v>
      </c>
      <c r="J20" s="15">
        <f t="shared" si="12"/>
        <v>-8.3158578116843851E-2</v>
      </c>
      <c r="K20" s="15">
        <f t="shared" si="12"/>
        <v>3.3113085995573027E-2</v>
      </c>
      <c r="L20" s="15">
        <f t="shared" si="12"/>
        <v>1.6432639512908003</v>
      </c>
      <c r="M20" s="15">
        <f t="shared" si="12"/>
        <v>0.43196468674853783</v>
      </c>
      <c r="N20" s="15">
        <f t="shared" si="12"/>
        <v>2.000000000000007E-2</v>
      </c>
      <c r="O20" s="15">
        <f t="shared" si="12"/>
        <v>2.9999999999999985E-2</v>
      </c>
      <c r="P20" s="15">
        <f t="shared" si="12"/>
        <v>2.0000000000000032E-2</v>
      </c>
      <c r="Q20" s="15">
        <f t="shared" si="12"/>
        <v>-0.6</v>
      </c>
      <c r="R20" s="15">
        <f t="shared" si="12"/>
        <v>-0.6</v>
      </c>
      <c r="S20" s="15">
        <f t="shared" si="12"/>
        <v>0</v>
      </c>
      <c r="T20" s="15">
        <f t="shared" si="12"/>
        <v>0</v>
      </c>
      <c r="U20" s="15">
        <f t="shared" si="12"/>
        <v>0</v>
      </c>
      <c r="V20" s="15">
        <f t="shared" si="12"/>
        <v>0</v>
      </c>
      <c r="W20" s="15">
        <f t="shared" si="12"/>
        <v>0</v>
      </c>
      <c r="X20" s="15">
        <f t="shared" si="12"/>
        <v>0</v>
      </c>
      <c r="Y20" s="15">
        <f t="shared" si="12"/>
        <v>0</v>
      </c>
      <c r="Z20" s="15">
        <f t="shared" si="12"/>
        <v>0</v>
      </c>
      <c r="AA20" s="15">
        <f t="shared" si="12"/>
        <v>0</v>
      </c>
      <c r="AB20" s="15">
        <f t="shared" si="12"/>
        <v>0</v>
      </c>
      <c r="AC20" s="15">
        <f t="shared" si="12"/>
        <v>0</v>
      </c>
      <c r="AD20" s="15">
        <f t="shared" si="12"/>
        <v>0</v>
      </c>
      <c r="AE20" s="15">
        <f t="shared" si="12"/>
        <v>0</v>
      </c>
      <c r="AF20" s="15">
        <f t="shared" si="12"/>
        <v>0</v>
      </c>
      <c r="AG20" s="15">
        <f t="shared" si="12"/>
        <v>0</v>
      </c>
      <c r="AH20" s="15">
        <f t="shared" si="12"/>
        <v>0</v>
      </c>
      <c r="AI20" s="15">
        <f t="shared" si="12"/>
        <v>0</v>
      </c>
      <c r="AJ20" s="15">
        <f t="shared" si="12"/>
        <v>0</v>
      </c>
      <c r="AK20" s="15">
        <f t="shared" si="12"/>
        <v>0</v>
      </c>
      <c r="AL20" s="15">
        <f t="shared" si="12"/>
        <v>0</v>
      </c>
      <c r="AM20" s="15">
        <f t="shared" si="12"/>
        <v>0</v>
      </c>
      <c r="AN20" s="15">
        <f t="shared" si="12"/>
        <v>0</v>
      </c>
    </row>
    <row r="21" spans="1:40" x14ac:dyDescent="0.35">
      <c r="A21" s="19"/>
      <c r="B21" s="1"/>
      <c r="C21" s="1"/>
      <c r="D21" s="1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</row>
    <row r="22" spans="1:40" x14ac:dyDescent="0.35">
      <c r="A22" s="1" t="s">
        <v>22</v>
      </c>
      <c r="B22" s="1"/>
      <c r="C22" s="1"/>
      <c r="D22" s="1"/>
      <c r="E22" s="17">
        <v>19781518</v>
      </c>
      <c r="F22" s="17">
        <v>21640696</v>
      </c>
      <c r="G22" s="17">
        <v>22437470</v>
      </c>
      <c r="H22" s="17">
        <v>24024092</v>
      </c>
      <c r="I22" s="17">
        <v>28033807</v>
      </c>
      <c r="J22" s="17">
        <v>31130657</v>
      </c>
      <c r="K22" s="17">
        <v>34980945</v>
      </c>
      <c r="L22" s="17">
        <f>'Výpočty-náklady'!L152</f>
        <v>34814726</v>
      </c>
      <c r="M22" s="17">
        <f>'Výpočty-náklady'!M152</f>
        <v>48978777.960000001</v>
      </c>
      <c r="N22" s="17">
        <f>'Výpočty-náklady'!N152</f>
        <v>49958353.560000002</v>
      </c>
      <c r="O22" s="17">
        <f>'Výpočty-náklady'!O152</f>
        <v>51457104.166800015</v>
      </c>
      <c r="P22" s="17">
        <f>'Výpočty-náklady'!P152</f>
        <v>53000817.291804008</v>
      </c>
      <c r="Q22" s="17">
        <f>'Výpočty-náklady'!Q152</f>
        <v>54590841.810558125</v>
      </c>
      <c r="R22" s="17">
        <f>'Výpočty-náklady'!R152</f>
        <v>54590841.810558125</v>
      </c>
      <c r="S22" s="17">
        <f>'Výpočty-náklady'!S152</f>
        <v>54590841.810558125</v>
      </c>
      <c r="T22" s="17">
        <f>'Výpočty-náklady'!T152</f>
        <v>54590841.810558125</v>
      </c>
      <c r="U22" s="17">
        <f>'Výpočty-náklady'!U152</f>
        <v>54590841.810558125</v>
      </c>
      <c r="V22" s="17">
        <f>'Výpočty-náklady'!V152</f>
        <v>54590841.810558125</v>
      </c>
      <c r="W22" s="17">
        <f>'Výpočty-náklady'!W152</f>
        <v>54590841.810558125</v>
      </c>
      <c r="X22" s="17">
        <f>'Výpočty-náklady'!X152</f>
        <v>54590841.810558125</v>
      </c>
      <c r="Y22" s="17">
        <f>'Výpočty-náklady'!Y152</f>
        <v>54590841.810558125</v>
      </c>
      <c r="Z22" s="17">
        <f>'Výpočty-náklady'!Z152</f>
        <v>54590841.810558125</v>
      </c>
      <c r="AA22" s="17">
        <f>'Výpočty-náklady'!AA152</f>
        <v>54590841.810558125</v>
      </c>
      <c r="AB22" s="17">
        <f>'Výpočty-náklady'!AB152</f>
        <v>54590841.810558125</v>
      </c>
      <c r="AC22" s="17">
        <f>'Výpočty-náklady'!AC152</f>
        <v>54590841.810558125</v>
      </c>
      <c r="AD22" s="17">
        <f>'Výpočty-náklady'!AD152</f>
        <v>54590841.810558125</v>
      </c>
      <c r="AE22" s="17">
        <f>'Výpočty-náklady'!AE152</f>
        <v>54590841.810558125</v>
      </c>
      <c r="AF22" s="17">
        <f>'Výpočty-náklady'!AF152</f>
        <v>54590841.810558125</v>
      </c>
      <c r="AG22" s="17">
        <f>'Výpočty-náklady'!AG152</f>
        <v>54590841.810558125</v>
      </c>
      <c r="AH22" s="17">
        <f>'Výpočty-náklady'!AH152</f>
        <v>54590841.810558125</v>
      </c>
      <c r="AI22" s="17">
        <f>'Výpočty-náklady'!AI152</f>
        <v>54590841.810558125</v>
      </c>
      <c r="AJ22" s="17">
        <f>'Výpočty-náklady'!AJ152</f>
        <v>54590841.810558125</v>
      </c>
      <c r="AK22" s="17">
        <f>'Výpočty-náklady'!AK152</f>
        <v>54590841.810558125</v>
      </c>
      <c r="AL22" s="17">
        <f>'Výpočty-náklady'!AL152</f>
        <v>54590841.810558125</v>
      </c>
      <c r="AM22" s="17">
        <f>'Výpočty-náklady'!AM152</f>
        <v>54590841.810558125</v>
      </c>
      <c r="AN22" s="17">
        <f>'Výpočty-náklady'!AN152</f>
        <v>54590841.810558125</v>
      </c>
    </row>
    <row r="23" spans="1:40" x14ac:dyDescent="0.35">
      <c r="A23" s="19" t="s">
        <v>23</v>
      </c>
      <c r="B23" s="19"/>
      <c r="C23" s="19"/>
      <c r="D23" s="1"/>
      <c r="E23" s="21">
        <f t="shared" ref="E23:AN23" si="13">E22/E13</f>
        <v>0.57011662976371835</v>
      </c>
      <c r="F23" s="21">
        <f t="shared" si="13"/>
        <v>0.56175302424447038</v>
      </c>
      <c r="G23" s="21">
        <f t="shared" si="13"/>
        <v>0.57163156209389421</v>
      </c>
      <c r="H23" s="21">
        <f t="shared" si="13"/>
        <v>0.58622304022439975</v>
      </c>
      <c r="I23" s="21">
        <f t="shared" si="13"/>
        <v>0.59986954020862226</v>
      </c>
      <c r="J23" s="21">
        <f t="shared" si="13"/>
        <v>0.65949781053678158</v>
      </c>
      <c r="K23" s="21">
        <f t="shared" si="13"/>
        <v>0.65109304306121807</v>
      </c>
      <c r="L23" s="21">
        <f t="shared" si="13"/>
        <v>0.63729070757409834</v>
      </c>
      <c r="M23" s="21">
        <f t="shared" si="13"/>
        <v>0.64772203119755423</v>
      </c>
      <c r="N23" s="21">
        <f t="shared" si="13"/>
        <v>0.68105251559516777</v>
      </c>
      <c r="O23" s="21">
        <f t="shared" si="13"/>
        <v>0.68283964517254281</v>
      </c>
      <c r="P23" s="21">
        <f t="shared" si="13"/>
        <v>0.68494875770684316</v>
      </c>
      <c r="Q23" s="21">
        <f t="shared" si="13"/>
        <v>0.71363199680602951</v>
      </c>
      <c r="R23" s="21">
        <f t="shared" si="13"/>
        <v>0.72225450516528966</v>
      </c>
      <c r="S23" s="21">
        <f t="shared" si="13"/>
        <v>0.72225450516528966</v>
      </c>
      <c r="T23" s="21">
        <f t="shared" si="13"/>
        <v>0.72225450516528966</v>
      </c>
      <c r="U23" s="21">
        <f t="shared" si="13"/>
        <v>0.72225450516528966</v>
      </c>
      <c r="V23" s="21">
        <f t="shared" si="13"/>
        <v>0.72225450516528966</v>
      </c>
      <c r="W23" s="21">
        <f t="shared" si="13"/>
        <v>0.72225450516528966</v>
      </c>
      <c r="X23" s="21">
        <f t="shared" si="13"/>
        <v>0.72225450516528966</v>
      </c>
      <c r="Y23" s="21">
        <f t="shared" si="13"/>
        <v>0.72225450516528966</v>
      </c>
      <c r="Z23" s="21">
        <f t="shared" si="13"/>
        <v>0.72225450516528966</v>
      </c>
      <c r="AA23" s="21">
        <f t="shared" si="13"/>
        <v>0.72225450516528966</v>
      </c>
      <c r="AB23" s="21">
        <f t="shared" si="13"/>
        <v>0.72225450516528966</v>
      </c>
      <c r="AC23" s="21">
        <f t="shared" si="13"/>
        <v>0.72225450516528966</v>
      </c>
      <c r="AD23" s="21">
        <f t="shared" si="13"/>
        <v>0.72225450516528966</v>
      </c>
      <c r="AE23" s="21">
        <f t="shared" si="13"/>
        <v>0.72225450516528966</v>
      </c>
      <c r="AF23" s="21">
        <f t="shared" si="13"/>
        <v>0.72225450516528966</v>
      </c>
      <c r="AG23" s="21">
        <f t="shared" si="13"/>
        <v>0.72225450516528966</v>
      </c>
      <c r="AH23" s="21">
        <f t="shared" si="13"/>
        <v>0.72225450516528966</v>
      </c>
      <c r="AI23" s="21">
        <f t="shared" si="13"/>
        <v>0.72225450516528966</v>
      </c>
      <c r="AJ23" s="21">
        <f t="shared" si="13"/>
        <v>0.72225450516528966</v>
      </c>
      <c r="AK23" s="21">
        <f t="shared" si="13"/>
        <v>0.72225450516528966</v>
      </c>
      <c r="AL23" s="21">
        <f t="shared" si="13"/>
        <v>0.72225450516528966</v>
      </c>
      <c r="AM23" s="21">
        <f t="shared" si="13"/>
        <v>0.72225450516528966</v>
      </c>
      <c r="AN23" s="21">
        <f t="shared" si="13"/>
        <v>0.72225450516528966</v>
      </c>
    </row>
    <row r="24" spans="1:40" x14ac:dyDescent="0.35">
      <c r="A24" s="74" t="s">
        <v>66</v>
      </c>
      <c r="B24" s="1"/>
      <c r="C24" s="1"/>
      <c r="D24" s="1"/>
      <c r="E24" s="80" t="s">
        <v>3</v>
      </c>
      <c r="F24" s="15">
        <f>(F22-E22)/E22</f>
        <v>9.3985608182344749E-2</v>
      </c>
      <c r="G24" s="15">
        <f t="shared" ref="G24:AN24" si="14">(G22-F22)/F22</f>
        <v>3.6818316749147068E-2</v>
      </c>
      <c r="H24" s="15">
        <f t="shared" si="14"/>
        <v>7.0713052763970274E-2</v>
      </c>
      <c r="I24" s="15">
        <f t="shared" si="14"/>
        <v>0.16690391462037357</v>
      </c>
      <c r="J24" s="15">
        <f t="shared" si="14"/>
        <v>0.11046840694879578</v>
      </c>
      <c r="K24" s="15">
        <f t="shared" si="14"/>
        <v>0.12368155288209946</v>
      </c>
      <c r="L24" s="15">
        <f t="shared" si="14"/>
        <v>-4.751701247636392E-3</v>
      </c>
      <c r="M24" s="15">
        <f t="shared" si="14"/>
        <v>0.40684082821734691</v>
      </c>
      <c r="N24" s="15">
        <f t="shared" si="14"/>
        <v>2.0000000833013874E-2</v>
      </c>
      <c r="O24" s="15">
        <f t="shared" si="14"/>
        <v>3.0000000000000245E-2</v>
      </c>
      <c r="P24" s="15">
        <f t="shared" si="14"/>
        <v>2.9999999999999867E-2</v>
      </c>
      <c r="Q24" s="15">
        <f t="shared" si="14"/>
        <v>2.9999999999999943E-2</v>
      </c>
      <c r="R24" s="15">
        <f t="shared" si="14"/>
        <v>0</v>
      </c>
      <c r="S24" s="15">
        <f t="shared" si="14"/>
        <v>0</v>
      </c>
      <c r="T24" s="15">
        <f t="shared" si="14"/>
        <v>0</v>
      </c>
      <c r="U24" s="15">
        <f t="shared" si="14"/>
        <v>0</v>
      </c>
      <c r="V24" s="15">
        <f t="shared" si="14"/>
        <v>0</v>
      </c>
      <c r="W24" s="15">
        <f t="shared" si="14"/>
        <v>0</v>
      </c>
      <c r="X24" s="15">
        <f t="shared" si="14"/>
        <v>0</v>
      </c>
      <c r="Y24" s="15">
        <f t="shared" si="14"/>
        <v>0</v>
      </c>
      <c r="Z24" s="15">
        <f t="shared" si="14"/>
        <v>0</v>
      </c>
      <c r="AA24" s="15">
        <f t="shared" si="14"/>
        <v>0</v>
      </c>
      <c r="AB24" s="15">
        <f t="shared" si="14"/>
        <v>0</v>
      </c>
      <c r="AC24" s="15">
        <f t="shared" si="14"/>
        <v>0</v>
      </c>
      <c r="AD24" s="15">
        <f t="shared" si="14"/>
        <v>0</v>
      </c>
      <c r="AE24" s="15">
        <f t="shared" si="14"/>
        <v>0</v>
      </c>
      <c r="AF24" s="15">
        <f t="shared" si="14"/>
        <v>0</v>
      </c>
      <c r="AG24" s="15">
        <f t="shared" si="14"/>
        <v>0</v>
      </c>
      <c r="AH24" s="15">
        <f t="shared" si="14"/>
        <v>0</v>
      </c>
      <c r="AI24" s="15">
        <f t="shared" si="14"/>
        <v>0</v>
      </c>
      <c r="AJ24" s="15">
        <f t="shared" si="14"/>
        <v>0</v>
      </c>
      <c r="AK24" s="15">
        <f t="shared" si="14"/>
        <v>0</v>
      </c>
      <c r="AL24" s="15">
        <f t="shared" si="14"/>
        <v>0</v>
      </c>
      <c r="AM24" s="15">
        <f t="shared" si="14"/>
        <v>0</v>
      </c>
      <c r="AN24" s="15">
        <f t="shared" si="14"/>
        <v>0</v>
      </c>
    </row>
    <row r="25" spans="1:40" x14ac:dyDescent="0.35">
      <c r="A25" s="1"/>
      <c r="B25" s="1"/>
      <c r="C25" s="1"/>
      <c r="D25" s="1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</row>
    <row r="26" spans="1:40" x14ac:dyDescent="0.35">
      <c r="A26" s="325" t="s">
        <v>29</v>
      </c>
      <c r="B26" s="325"/>
      <c r="C26" s="1"/>
      <c r="D26" s="1"/>
      <c r="E26" s="17">
        <v>829368</v>
      </c>
      <c r="F26" s="17">
        <v>1102040</v>
      </c>
      <c r="G26" s="17">
        <v>672641</v>
      </c>
      <c r="H26" s="17">
        <v>814391</v>
      </c>
      <c r="I26" s="17">
        <v>797112</v>
      </c>
      <c r="J26" s="17">
        <v>695583</v>
      </c>
      <c r="K26" s="17">
        <v>784814</v>
      </c>
      <c r="L26" s="17">
        <f>'Výpočty-náklady'!L161</f>
        <v>834152</v>
      </c>
      <c r="M26" s="17">
        <f>'Výpočty-náklady'!M161</f>
        <v>959280</v>
      </c>
      <c r="N26" s="17">
        <f>'Výpočty-náklady'!N161</f>
        <v>978465.6</v>
      </c>
      <c r="O26" s="17">
        <f>'Výpočty-náklady'!O161</f>
        <v>998034.91200000001</v>
      </c>
      <c r="P26" s="17">
        <f>'Výpočty-náklady'!P161</f>
        <v>1017995.6102400001</v>
      </c>
      <c r="Q26" s="17">
        <f>'Výpočty-náklady'!Q161</f>
        <v>407198.24409600004</v>
      </c>
      <c r="R26" s="17">
        <f>'Výpočty-náklady'!R161</f>
        <v>407198.24409600004</v>
      </c>
      <c r="S26" s="17">
        <f>'Výpočty-náklady'!S161</f>
        <v>407198.24409600004</v>
      </c>
      <c r="T26" s="17">
        <f>'Výpočty-náklady'!T161</f>
        <v>407198.24409600004</v>
      </c>
      <c r="U26" s="17">
        <f>'Výpočty-náklady'!U161</f>
        <v>407198.24409600004</v>
      </c>
      <c r="V26" s="17">
        <f>'Výpočty-náklady'!V161</f>
        <v>407198.24409600004</v>
      </c>
      <c r="W26" s="17">
        <f>'Výpočty-náklady'!W161</f>
        <v>407198.24409600004</v>
      </c>
      <c r="X26" s="17">
        <f>'Výpočty-náklady'!X161</f>
        <v>407198.24409600004</v>
      </c>
      <c r="Y26" s="17">
        <f>'Výpočty-náklady'!Y161</f>
        <v>407198.24409600004</v>
      </c>
      <c r="Z26" s="17">
        <f>'Výpočty-náklady'!Z161</f>
        <v>407198.24409600004</v>
      </c>
      <c r="AA26" s="17">
        <f>'Výpočty-náklady'!AA161</f>
        <v>407198.24409600004</v>
      </c>
      <c r="AB26" s="17">
        <f>'Výpočty-náklady'!AB161</f>
        <v>407198.24409600004</v>
      </c>
      <c r="AC26" s="17">
        <f>'Výpočty-náklady'!AC161</f>
        <v>407198.24409600004</v>
      </c>
      <c r="AD26" s="17">
        <f>'Výpočty-náklady'!AD161</f>
        <v>407198.24409600004</v>
      </c>
      <c r="AE26" s="17">
        <f>'Výpočty-náklady'!AE161</f>
        <v>407198.24409600004</v>
      </c>
      <c r="AF26" s="17">
        <f>'Výpočty-náklady'!AF161</f>
        <v>407198.24409600004</v>
      </c>
      <c r="AG26" s="17">
        <f>'Výpočty-náklady'!AG161</f>
        <v>407198.24409600004</v>
      </c>
      <c r="AH26" s="17">
        <f>'Výpočty-náklady'!AH161</f>
        <v>407198.24409600004</v>
      </c>
      <c r="AI26" s="17">
        <f>'Výpočty-náklady'!AI161</f>
        <v>407198.24409600004</v>
      </c>
      <c r="AJ26" s="17">
        <f>'Výpočty-náklady'!AJ161</f>
        <v>407198.24409600004</v>
      </c>
      <c r="AK26" s="17">
        <f>'Výpočty-náklady'!AK161</f>
        <v>407198.24409600004</v>
      </c>
      <c r="AL26" s="17">
        <f>'Výpočty-náklady'!AL161</f>
        <v>407198.24409600004</v>
      </c>
      <c r="AM26" s="17">
        <f>'Výpočty-náklady'!AM161</f>
        <v>407198.24409600004</v>
      </c>
      <c r="AN26" s="17">
        <f>'Výpočty-náklady'!AN161</f>
        <v>407198.24409600004</v>
      </c>
    </row>
    <row r="27" spans="1:40" x14ac:dyDescent="0.35">
      <c r="A27" s="34" t="s">
        <v>30</v>
      </c>
      <c r="B27" s="34"/>
      <c r="C27" s="19"/>
      <c r="D27" s="19"/>
      <c r="E27" s="21">
        <f t="shared" ref="E27:AN27" si="15">E26/E13</f>
        <v>2.3902942584784218E-2</v>
      </c>
      <c r="F27" s="21">
        <f t="shared" si="15"/>
        <v>2.8606949741282636E-2</v>
      </c>
      <c r="G27" s="21">
        <f t="shared" si="15"/>
        <v>1.7136639093373679E-2</v>
      </c>
      <c r="H27" s="21">
        <f t="shared" si="15"/>
        <v>1.987233348720897E-2</v>
      </c>
      <c r="I27" s="21">
        <f t="shared" si="15"/>
        <v>1.7056663368438519E-2</v>
      </c>
      <c r="J27" s="21">
        <f t="shared" si="15"/>
        <v>1.4735810604530645E-2</v>
      </c>
      <c r="K27" s="21">
        <f t="shared" si="15"/>
        <v>1.4607579512132872E-2</v>
      </c>
      <c r="L27" s="21">
        <f t="shared" si="15"/>
        <v>1.5269323627718608E-2</v>
      </c>
      <c r="M27" s="21">
        <f t="shared" si="15"/>
        <v>1.2686041097118255E-2</v>
      </c>
      <c r="N27" s="21">
        <f t="shared" si="15"/>
        <v>1.3338839469619525E-2</v>
      </c>
      <c r="O27" s="21">
        <f t="shared" si="15"/>
        <v>1.3243998398564966E-2</v>
      </c>
      <c r="P27" s="21">
        <f t="shared" si="15"/>
        <v>1.3155925968951683E-2</v>
      </c>
      <c r="Q27" s="21">
        <f t="shared" si="15"/>
        <v>5.323048452679037E-3</v>
      </c>
      <c r="R27" s="21">
        <f t="shared" si="15"/>
        <v>5.3873645567570436E-3</v>
      </c>
      <c r="S27" s="21">
        <f t="shared" si="15"/>
        <v>5.3873645567570436E-3</v>
      </c>
      <c r="T27" s="21">
        <f t="shared" si="15"/>
        <v>5.3873645567570436E-3</v>
      </c>
      <c r="U27" s="21">
        <f t="shared" si="15"/>
        <v>5.3873645567570436E-3</v>
      </c>
      <c r="V27" s="21">
        <f t="shared" si="15"/>
        <v>5.3873645567570436E-3</v>
      </c>
      <c r="W27" s="21">
        <f t="shared" si="15"/>
        <v>5.3873645567570436E-3</v>
      </c>
      <c r="X27" s="21">
        <f t="shared" si="15"/>
        <v>5.3873645567570436E-3</v>
      </c>
      <c r="Y27" s="21">
        <f t="shared" si="15"/>
        <v>5.3873645567570436E-3</v>
      </c>
      <c r="Z27" s="21">
        <f t="shared" si="15"/>
        <v>5.3873645567570436E-3</v>
      </c>
      <c r="AA27" s="21">
        <f t="shared" si="15"/>
        <v>5.3873645567570436E-3</v>
      </c>
      <c r="AB27" s="21">
        <f t="shared" si="15"/>
        <v>5.3873645567570436E-3</v>
      </c>
      <c r="AC27" s="21">
        <f t="shared" si="15"/>
        <v>5.3873645567570436E-3</v>
      </c>
      <c r="AD27" s="21">
        <f t="shared" si="15"/>
        <v>5.3873645567570436E-3</v>
      </c>
      <c r="AE27" s="21">
        <f t="shared" si="15"/>
        <v>5.3873645567570436E-3</v>
      </c>
      <c r="AF27" s="21">
        <f t="shared" si="15"/>
        <v>5.3873645567570436E-3</v>
      </c>
      <c r="AG27" s="21">
        <f t="shared" si="15"/>
        <v>5.3873645567570436E-3</v>
      </c>
      <c r="AH27" s="21">
        <f t="shared" si="15"/>
        <v>5.3873645567570436E-3</v>
      </c>
      <c r="AI27" s="21">
        <f t="shared" si="15"/>
        <v>5.3873645567570436E-3</v>
      </c>
      <c r="AJ27" s="21">
        <f t="shared" si="15"/>
        <v>5.3873645567570436E-3</v>
      </c>
      <c r="AK27" s="21">
        <f t="shared" si="15"/>
        <v>5.3873645567570436E-3</v>
      </c>
      <c r="AL27" s="21">
        <f t="shared" si="15"/>
        <v>5.3873645567570436E-3</v>
      </c>
      <c r="AM27" s="21">
        <f t="shared" si="15"/>
        <v>5.3873645567570436E-3</v>
      </c>
      <c r="AN27" s="21">
        <f t="shared" si="15"/>
        <v>5.3873645567570436E-3</v>
      </c>
    </row>
    <row r="28" spans="1:40" x14ac:dyDescent="0.35">
      <c r="A28" s="75" t="s">
        <v>67</v>
      </c>
      <c r="B28" s="35"/>
      <c r="C28" s="1"/>
      <c r="D28" s="1"/>
      <c r="E28" s="80" t="s">
        <v>3</v>
      </c>
      <c r="F28" s="15">
        <f>(F26-E26)/E26</f>
        <v>0.32877082308456562</v>
      </c>
      <c r="G28" s="15">
        <f t="shared" ref="G28:AN28" si="16">(G26-F26)/F26</f>
        <v>-0.3896401219556459</v>
      </c>
      <c r="H28" s="15">
        <f t="shared" si="16"/>
        <v>0.21073648498976422</v>
      </c>
      <c r="I28" s="15">
        <f t="shared" si="16"/>
        <v>-2.1217081230023416E-2</v>
      </c>
      <c r="J28" s="15">
        <f t="shared" si="16"/>
        <v>-0.12737105952488484</v>
      </c>
      <c r="K28" s="15">
        <f t="shared" si="16"/>
        <v>0.12828231857305311</v>
      </c>
      <c r="L28" s="15">
        <f t="shared" si="16"/>
        <v>6.2865851016928848E-2</v>
      </c>
      <c r="M28" s="15">
        <f t="shared" si="16"/>
        <v>0.15000623387584036</v>
      </c>
      <c r="N28" s="15">
        <f t="shared" si="16"/>
        <v>1.9999999999999976E-2</v>
      </c>
      <c r="O28" s="15">
        <f t="shared" si="16"/>
        <v>2.0000000000000035E-2</v>
      </c>
      <c r="P28" s="15">
        <f t="shared" si="16"/>
        <v>2.0000000000000056E-2</v>
      </c>
      <c r="Q28" s="15">
        <f t="shared" si="16"/>
        <v>-0.60000000000000009</v>
      </c>
      <c r="R28" s="15">
        <f t="shared" si="16"/>
        <v>0</v>
      </c>
      <c r="S28" s="15">
        <f t="shared" si="16"/>
        <v>0</v>
      </c>
      <c r="T28" s="15">
        <f t="shared" si="16"/>
        <v>0</v>
      </c>
      <c r="U28" s="15">
        <f t="shared" si="16"/>
        <v>0</v>
      </c>
      <c r="V28" s="15">
        <f t="shared" si="16"/>
        <v>0</v>
      </c>
      <c r="W28" s="15">
        <f t="shared" si="16"/>
        <v>0</v>
      </c>
      <c r="X28" s="15">
        <f t="shared" si="16"/>
        <v>0</v>
      </c>
      <c r="Y28" s="15">
        <f t="shared" si="16"/>
        <v>0</v>
      </c>
      <c r="Z28" s="15">
        <f t="shared" si="16"/>
        <v>0</v>
      </c>
      <c r="AA28" s="15">
        <f t="shared" si="16"/>
        <v>0</v>
      </c>
      <c r="AB28" s="15">
        <f t="shared" si="16"/>
        <v>0</v>
      </c>
      <c r="AC28" s="15">
        <f t="shared" si="16"/>
        <v>0</v>
      </c>
      <c r="AD28" s="15">
        <f t="shared" si="16"/>
        <v>0</v>
      </c>
      <c r="AE28" s="15">
        <f t="shared" si="16"/>
        <v>0</v>
      </c>
      <c r="AF28" s="15">
        <f t="shared" si="16"/>
        <v>0</v>
      </c>
      <c r="AG28" s="15">
        <f t="shared" si="16"/>
        <v>0</v>
      </c>
      <c r="AH28" s="15">
        <f t="shared" si="16"/>
        <v>0</v>
      </c>
      <c r="AI28" s="15">
        <f t="shared" si="16"/>
        <v>0</v>
      </c>
      <c r="AJ28" s="15">
        <f t="shared" si="16"/>
        <v>0</v>
      </c>
      <c r="AK28" s="15">
        <f t="shared" si="16"/>
        <v>0</v>
      </c>
      <c r="AL28" s="15">
        <f t="shared" si="16"/>
        <v>0</v>
      </c>
      <c r="AM28" s="15">
        <f t="shared" si="16"/>
        <v>0</v>
      </c>
      <c r="AN28" s="15">
        <f t="shared" si="16"/>
        <v>0</v>
      </c>
    </row>
    <row r="29" spans="1:40" x14ac:dyDescent="0.35">
      <c r="A29" s="75"/>
      <c r="B29" s="35"/>
      <c r="C29" s="1"/>
      <c r="D29" s="1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</row>
    <row r="30" spans="1:40" x14ac:dyDescent="0.35">
      <c r="A30" s="325" t="s">
        <v>31</v>
      </c>
      <c r="B30" s="325"/>
      <c r="C30" s="1"/>
      <c r="D30" s="1"/>
      <c r="E30" s="17">
        <v>2441149</v>
      </c>
      <c r="F30" s="17">
        <v>2578108</v>
      </c>
      <c r="G30" s="17">
        <v>2600122</v>
      </c>
      <c r="H30" s="17">
        <v>2907040</v>
      </c>
      <c r="I30" s="17">
        <v>3105273</v>
      </c>
      <c r="J30" s="17">
        <v>2728798</v>
      </c>
      <c r="K30" s="36">
        <v>2952173</v>
      </c>
      <c r="L30" s="17">
        <f>'Výpočty-náklady'!L164</f>
        <v>3248925</v>
      </c>
      <c r="M30" s="17">
        <f>'Výpočty-náklady'!M164</f>
        <v>3736260</v>
      </c>
      <c r="N30" s="17">
        <f>'Výpočty-náklady'!N164</f>
        <v>3810985.2</v>
      </c>
      <c r="O30" s="17">
        <f>'Výpočty-náklady'!O164</f>
        <v>3887204.9040000001</v>
      </c>
      <c r="P30" s="17">
        <f>'Výpočty-náklady'!P164</f>
        <v>3964949.00208</v>
      </c>
      <c r="Q30" s="17">
        <f>'Výpočty-náklady'!Q164</f>
        <v>4064072.7271319996</v>
      </c>
      <c r="R30" s="17">
        <f>'Výpočty-náklady'!R164</f>
        <v>4064072.7271319996</v>
      </c>
      <c r="S30" s="17">
        <f>'Výpočty-náklady'!S164</f>
        <v>4064072.7271319996</v>
      </c>
      <c r="T30" s="17">
        <f>'Výpočty-náklady'!T164</f>
        <v>4064072.7271319996</v>
      </c>
      <c r="U30" s="17">
        <f>'Výpočty-náklady'!U164</f>
        <v>4064072.7271319996</v>
      </c>
      <c r="V30" s="17">
        <f>'Výpočty-náklady'!V164</f>
        <v>4064072.7271319996</v>
      </c>
      <c r="W30" s="17">
        <f>'Výpočty-náklady'!W164</f>
        <v>4064072.7271319996</v>
      </c>
      <c r="X30" s="17">
        <f>'Výpočty-náklady'!X164</f>
        <v>4064072.7271319996</v>
      </c>
      <c r="Y30" s="17">
        <f>'Výpočty-náklady'!Y164</f>
        <v>4064072.7271319996</v>
      </c>
      <c r="Z30" s="17">
        <f>'Výpočty-náklady'!Z164</f>
        <v>4064072.7271319996</v>
      </c>
      <c r="AA30" s="17">
        <f>'Výpočty-náklady'!AA164</f>
        <v>4064072.7271319996</v>
      </c>
      <c r="AB30" s="17">
        <f>'Výpočty-náklady'!AB164</f>
        <v>4064072.7271319996</v>
      </c>
      <c r="AC30" s="17">
        <f>'Výpočty-náklady'!AC164</f>
        <v>4064072.7271319996</v>
      </c>
      <c r="AD30" s="17">
        <f>'Výpočty-náklady'!AD164</f>
        <v>4064072.7271319996</v>
      </c>
      <c r="AE30" s="17">
        <f>'Výpočty-náklady'!AE164</f>
        <v>4064072.7271319996</v>
      </c>
      <c r="AF30" s="17">
        <f>'Výpočty-náklady'!AF164</f>
        <v>4064072.7271319996</v>
      </c>
      <c r="AG30" s="17">
        <f>'Výpočty-náklady'!AG164</f>
        <v>4064072.7271319996</v>
      </c>
      <c r="AH30" s="17">
        <f>'Výpočty-náklady'!AH164</f>
        <v>4064072.7271319996</v>
      </c>
      <c r="AI30" s="17">
        <f>'Výpočty-náklady'!AI164</f>
        <v>4064072.7271319996</v>
      </c>
      <c r="AJ30" s="17">
        <f>'Výpočty-náklady'!AJ164</f>
        <v>4064072.7271319996</v>
      </c>
      <c r="AK30" s="17">
        <f>'Výpočty-náklady'!AK164</f>
        <v>4064072.7271319996</v>
      </c>
      <c r="AL30" s="17">
        <f>'Výpočty-náklady'!AL164</f>
        <v>4064072.7271319996</v>
      </c>
      <c r="AM30" s="17">
        <f>'Výpočty-náklady'!AM164</f>
        <v>4064072.7271319996</v>
      </c>
      <c r="AN30" s="17">
        <f>'Výpočty-náklady'!AN164</f>
        <v>4064072.7271319996</v>
      </c>
    </row>
    <row r="31" spans="1:40" x14ac:dyDescent="0.35">
      <c r="A31" s="37" t="s">
        <v>32</v>
      </c>
      <c r="B31" s="37"/>
      <c r="C31" s="1"/>
      <c r="D31" s="1"/>
      <c r="E31" s="21">
        <f t="shared" ref="E31:AN31" si="17">E30/E13</f>
        <v>7.0355553129495485E-2</v>
      </c>
      <c r="F31" s="21">
        <f t="shared" si="17"/>
        <v>6.6922984631772611E-2</v>
      </c>
      <c r="G31" s="21">
        <f t="shared" si="17"/>
        <v>6.624239722636735E-2</v>
      </c>
      <c r="H31" s="21">
        <f t="shared" si="17"/>
        <v>7.0936034829284664E-2</v>
      </c>
      <c r="I31" s="21">
        <f t="shared" si="17"/>
        <v>6.644686848034051E-2</v>
      </c>
      <c r="J31" s="21">
        <f t="shared" si="17"/>
        <v>5.7809133498118864E-2</v>
      </c>
      <c r="K31" s="38">
        <f t="shared" si="17"/>
        <v>5.4948181137278181E-2</v>
      </c>
      <c r="L31" s="38">
        <f t="shared" si="17"/>
        <v>5.9472239192839761E-2</v>
      </c>
      <c r="M31" s="38">
        <f t="shared" si="17"/>
        <v>4.9410336825034457E-2</v>
      </c>
      <c r="N31" s="38">
        <f t="shared" si="17"/>
        <v>5.1952894208949059E-2</v>
      </c>
      <c r="O31" s="38">
        <f t="shared" si="17"/>
        <v>5.1583501643547594E-2</v>
      </c>
      <c r="P31" s="38">
        <f t="shared" si="17"/>
        <v>5.1240471979771718E-2</v>
      </c>
      <c r="Q31" s="38">
        <f t="shared" si="17"/>
        <v>5.3127085775534093E-2</v>
      </c>
      <c r="R31" s="38">
        <f t="shared" si="17"/>
        <v>5.3768997493692648E-2</v>
      </c>
      <c r="S31" s="38">
        <f t="shared" si="17"/>
        <v>5.3768997493692648E-2</v>
      </c>
      <c r="T31" s="38">
        <f t="shared" si="17"/>
        <v>5.3768997493692648E-2</v>
      </c>
      <c r="U31" s="38">
        <f t="shared" si="17"/>
        <v>5.3768997493692648E-2</v>
      </c>
      <c r="V31" s="38">
        <f t="shared" si="17"/>
        <v>5.3768997493692648E-2</v>
      </c>
      <c r="W31" s="38">
        <f t="shared" si="17"/>
        <v>5.3768997493692648E-2</v>
      </c>
      <c r="X31" s="38">
        <f t="shared" si="17"/>
        <v>5.3768997493692648E-2</v>
      </c>
      <c r="Y31" s="38">
        <f t="shared" si="17"/>
        <v>5.3768997493692648E-2</v>
      </c>
      <c r="Z31" s="38">
        <f t="shared" si="17"/>
        <v>5.3768997493692648E-2</v>
      </c>
      <c r="AA31" s="38">
        <f t="shared" si="17"/>
        <v>5.3768997493692648E-2</v>
      </c>
      <c r="AB31" s="38">
        <f t="shared" si="17"/>
        <v>5.3768997493692648E-2</v>
      </c>
      <c r="AC31" s="38">
        <f t="shared" si="17"/>
        <v>5.3768997493692648E-2</v>
      </c>
      <c r="AD31" s="38">
        <f t="shared" si="17"/>
        <v>5.3768997493692648E-2</v>
      </c>
      <c r="AE31" s="38">
        <f t="shared" si="17"/>
        <v>5.3768997493692648E-2</v>
      </c>
      <c r="AF31" s="38">
        <f t="shared" si="17"/>
        <v>5.3768997493692648E-2</v>
      </c>
      <c r="AG31" s="38">
        <f t="shared" si="17"/>
        <v>5.3768997493692648E-2</v>
      </c>
      <c r="AH31" s="38">
        <f t="shared" si="17"/>
        <v>5.3768997493692648E-2</v>
      </c>
      <c r="AI31" s="38">
        <f t="shared" si="17"/>
        <v>5.3768997493692648E-2</v>
      </c>
      <c r="AJ31" s="38">
        <f t="shared" si="17"/>
        <v>5.3768997493692648E-2</v>
      </c>
      <c r="AK31" s="38">
        <f t="shared" si="17"/>
        <v>5.3768997493692648E-2</v>
      </c>
      <c r="AL31" s="38">
        <f t="shared" si="17"/>
        <v>5.3768997493692648E-2</v>
      </c>
      <c r="AM31" s="38">
        <f t="shared" si="17"/>
        <v>5.3768997493692648E-2</v>
      </c>
      <c r="AN31" s="38">
        <f t="shared" si="17"/>
        <v>5.3768997493692648E-2</v>
      </c>
    </row>
    <row r="32" spans="1:40" x14ac:dyDescent="0.35">
      <c r="A32" s="75" t="s">
        <v>69</v>
      </c>
      <c r="B32" s="35"/>
      <c r="C32" s="1"/>
      <c r="D32" s="1"/>
      <c r="E32" s="80" t="s">
        <v>3</v>
      </c>
      <c r="F32" s="15">
        <f>(F30-E30)/E30</f>
        <v>5.610431808955537E-2</v>
      </c>
      <c r="G32" s="15">
        <f t="shared" ref="G32:AN32" si="18">(G30-F30)/F30</f>
        <v>8.5388199408248221E-3</v>
      </c>
      <c r="H32" s="15">
        <f t="shared" si="18"/>
        <v>0.11803984582261909</v>
      </c>
      <c r="I32" s="15">
        <f t="shared" si="18"/>
        <v>6.8190668171060592E-2</v>
      </c>
      <c r="J32" s="15">
        <f t="shared" si="18"/>
        <v>-0.12123732760372437</v>
      </c>
      <c r="K32" s="15">
        <f t="shared" si="18"/>
        <v>8.1858385999989736E-2</v>
      </c>
      <c r="L32" s="15">
        <f t="shared" si="18"/>
        <v>0.10051985435812874</v>
      </c>
      <c r="M32" s="15">
        <f t="shared" si="18"/>
        <v>0.14999884577206307</v>
      </c>
      <c r="N32" s="15">
        <f t="shared" si="18"/>
        <v>2.0000000000000049E-2</v>
      </c>
      <c r="O32" s="15">
        <f t="shared" si="18"/>
        <v>1.9999999999999976E-2</v>
      </c>
      <c r="P32" s="15">
        <f t="shared" si="18"/>
        <v>1.9999999999999976E-2</v>
      </c>
      <c r="Q32" s="15">
        <f t="shared" si="18"/>
        <v>2.4999999999999887E-2</v>
      </c>
      <c r="R32" s="15">
        <f t="shared" si="18"/>
        <v>0</v>
      </c>
      <c r="S32" s="15">
        <f t="shared" si="18"/>
        <v>0</v>
      </c>
      <c r="T32" s="15">
        <f t="shared" si="18"/>
        <v>0</v>
      </c>
      <c r="U32" s="15">
        <f t="shared" si="18"/>
        <v>0</v>
      </c>
      <c r="V32" s="15">
        <f t="shared" si="18"/>
        <v>0</v>
      </c>
      <c r="W32" s="15">
        <f t="shared" si="18"/>
        <v>0</v>
      </c>
      <c r="X32" s="15">
        <f t="shared" si="18"/>
        <v>0</v>
      </c>
      <c r="Y32" s="15">
        <f t="shared" si="18"/>
        <v>0</v>
      </c>
      <c r="Z32" s="15">
        <f t="shared" si="18"/>
        <v>0</v>
      </c>
      <c r="AA32" s="15">
        <f t="shared" si="18"/>
        <v>0</v>
      </c>
      <c r="AB32" s="15">
        <f t="shared" si="18"/>
        <v>0</v>
      </c>
      <c r="AC32" s="15">
        <f t="shared" si="18"/>
        <v>0</v>
      </c>
      <c r="AD32" s="15">
        <f t="shared" si="18"/>
        <v>0</v>
      </c>
      <c r="AE32" s="15">
        <f t="shared" si="18"/>
        <v>0</v>
      </c>
      <c r="AF32" s="15">
        <f t="shared" si="18"/>
        <v>0</v>
      </c>
      <c r="AG32" s="15">
        <f t="shared" si="18"/>
        <v>0</v>
      </c>
      <c r="AH32" s="15">
        <f t="shared" si="18"/>
        <v>0</v>
      </c>
      <c r="AI32" s="15">
        <f t="shared" si="18"/>
        <v>0</v>
      </c>
      <c r="AJ32" s="15">
        <f t="shared" si="18"/>
        <v>0</v>
      </c>
      <c r="AK32" s="15">
        <f t="shared" si="18"/>
        <v>0</v>
      </c>
      <c r="AL32" s="15">
        <f t="shared" si="18"/>
        <v>0</v>
      </c>
      <c r="AM32" s="15">
        <f t="shared" si="18"/>
        <v>0</v>
      </c>
      <c r="AN32" s="15">
        <f t="shared" si="18"/>
        <v>0</v>
      </c>
    </row>
    <row r="33" spans="1:91" x14ac:dyDescent="0.35">
      <c r="A33" s="75"/>
      <c r="B33" s="35"/>
      <c r="C33" s="1"/>
      <c r="D33" s="1"/>
      <c r="E33" s="17"/>
      <c r="F33" s="17"/>
      <c r="G33" s="17"/>
      <c r="H33" s="17"/>
      <c r="I33" s="17"/>
      <c r="J33" s="17"/>
      <c r="K33" s="36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</row>
    <row r="34" spans="1:91" x14ac:dyDescent="0.35">
      <c r="A34" s="325" t="s">
        <v>33</v>
      </c>
      <c r="B34" s="325"/>
      <c r="C34" s="1"/>
      <c r="D34" s="1"/>
      <c r="E34" s="17">
        <f>'Výpočty-náklady'!E167</f>
        <v>2515008</v>
      </c>
      <c r="F34" s="17">
        <f>'Výpočty-náklady'!F167</f>
        <v>2807177</v>
      </c>
      <c r="G34" s="17">
        <f>'Výpočty-náklady'!G167</f>
        <v>2882523</v>
      </c>
      <c r="H34" s="17">
        <f>'Výpočty-náklady'!H167</f>
        <v>2890546</v>
      </c>
      <c r="I34" s="17">
        <f>'Výpočty-náklady'!I167</f>
        <v>3188522</v>
      </c>
      <c r="J34" s="17">
        <f>'Výpočty-náklady'!J167</f>
        <v>3055778</v>
      </c>
      <c r="K34" s="17">
        <f>'Výpočty-náklady'!K167</f>
        <v>3097226.74</v>
      </c>
      <c r="L34" s="17">
        <f>'Výpočty-náklady'!L167</f>
        <v>3920723</v>
      </c>
      <c r="M34" s="17">
        <f>'Výpočty-náklady'!M167</f>
        <v>4411433</v>
      </c>
      <c r="N34" s="17">
        <f>'Výpočty-náklady'!N167</f>
        <v>4499661.66</v>
      </c>
      <c r="O34" s="17">
        <f>'Výpočty-náklady'!O167</f>
        <v>4589654.8932000007</v>
      </c>
      <c r="P34" s="17">
        <f>'Výpočty-náklady'!P167</f>
        <v>4681447.9910639999</v>
      </c>
      <c r="Q34" s="17">
        <f>'Výpočty-náklady'!Q167</f>
        <v>4775076.95088528</v>
      </c>
      <c r="R34" s="17">
        <f>'Výpočty-náklady'!R167</f>
        <v>4775076.95088528</v>
      </c>
      <c r="S34" s="17">
        <f>'Výpočty-náklady'!S167</f>
        <v>4775076.95088528</v>
      </c>
      <c r="T34" s="17">
        <f>'Výpočty-náklady'!T167</f>
        <v>4775076.95088528</v>
      </c>
      <c r="U34" s="17">
        <f>'Výpočty-náklady'!U167</f>
        <v>4775076.95088528</v>
      </c>
      <c r="V34" s="17">
        <f>'Výpočty-náklady'!V167</f>
        <v>4775076.95088528</v>
      </c>
      <c r="W34" s="17">
        <f>'Výpočty-náklady'!W167</f>
        <v>4775076.95088528</v>
      </c>
      <c r="X34" s="17">
        <f>'Výpočty-náklady'!X167</f>
        <v>4775076.95088528</v>
      </c>
      <c r="Y34" s="17">
        <f>'Výpočty-náklady'!Y167</f>
        <v>4775076.95088528</v>
      </c>
      <c r="Z34" s="17">
        <f>'Výpočty-náklady'!Z167</f>
        <v>4775076.95088528</v>
      </c>
      <c r="AA34" s="17">
        <f>'Výpočty-náklady'!AA167</f>
        <v>4775076.95088528</v>
      </c>
      <c r="AB34" s="17">
        <f>'Výpočty-náklady'!AB167</f>
        <v>4775076.95088528</v>
      </c>
      <c r="AC34" s="17">
        <f>'Výpočty-náklady'!AC167</f>
        <v>4775076.95088528</v>
      </c>
      <c r="AD34" s="17">
        <f>'Výpočty-náklady'!AD167</f>
        <v>4775076.95088528</v>
      </c>
      <c r="AE34" s="17">
        <f>'Výpočty-náklady'!AE167</f>
        <v>4775076.95088528</v>
      </c>
      <c r="AF34" s="17">
        <f>'Výpočty-náklady'!AF167</f>
        <v>4775076.95088528</v>
      </c>
      <c r="AG34" s="17">
        <f>'Výpočty-náklady'!AG167</f>
        <v>4775076.95088528</v>
      </c>
      <c r="AH34" s="17">
        <f>'Výpočty-náklady'!AH167</f>
        <v>4775076.95088528</v>
      </c>
      <c r="AI34" s="17">
        <f>'Výpočty-náklady'!AI167</f>
        <v>4775076.95088528</v>
      </c>
      <c r="AJ34" s="17">
        <f>'Výpočty-náklady'!AJ167</f>
        <v>4775076.95088528</v>
      </c>
      <c r="AK34" s="17">
        <f>'Výpočty-náklady'!AK167</f>
        <v>4775076.95088528</v>
      </c>
      <c r="AL34" s="17">
        <f>'Výpočty-náklady'!AL167</f>
        <v>4775076.95088528</v>
      </c>
      <c r="AM34" s="17">
        <f>'Výpočty-náklady'!AM167</f>
        <v>4775076.95088528</v>
      </c>
      <c r="AN34" s="17">
        <f>'Výpočty-náklady'!AN167</f>
        <v>4775076.95088528</v>
      </c>
    </row>
    <row r="35" spans="1:91" x14ac:dyDescent="0.35">
      <c r="A35" s="34" t="s">
        <v>34</v>
      </c>
      <c r="B35" s="34"/>
      <c r="C35" s="19"/>
      <c r="D35" s="1"/>
      <c r="E35" s="21">
        <f t="shared" ref="E35:AN35" si="19">E34/E13</f>
        <v>7.2484219097280089E-2</v>
      </c>
      <c r="F35" s="21">
        <f t="shared" si="19"/>
        <v>7.2869198353856995E-2</v>
      </c>
      <c r="G35" s="21">
        <f t="shared" si="19"/>
        <v>7.3437028562559792E-2</v>
      </c>
      <c r="H35" s="21">
        <f t="shared" si="19"/>
        <v>7.0533557065485669E-2</v>
      </c>
      <c r="I35" s="21">
        <f t="shared" si="19"/>
        <v>6.8228236931397748E-2</v>
      </c>
      <c r="J35" s="21">
        <f t="shared" si="19"/>
        <v>6.4736150621121341E-2</v>
      </c>
      <c r="K35" s="21">
        <f t="shared" si="19"/>
        <v>5.7648036186477417E-2</v>
      </c>
      <c r="L35" s="21">
        <f t="shared" si="19"/>
        <v>7.1769639516107112E-2</v>
      </c>
      <c r="M35" s="21">
        <f t="shared" si="19"/>
        <v>5.8339192243332165E-2</v>
      </c>
      <c r="N35" s="21">
        <f t="shared" si="19"/>
        <v>6.1341210718436824E-2</v>
      </c>
      <c r="O35" s="21">
        <f t="shared" si="19"/>
        <v>6.0905065869586196E-2</v>
      </c>
      <c r="P35" s="21">
        <f t="shared" si="19"/>
        <v>6.050004791613546E-2</v>
      </c>
      <c r="Q35" s="21">
        <f t="shared" si="19"/>
        <v>6.2421600150222523E-2</v>
      </c>
      <c r="R35" s="21">
        <f t="shared" si="19"/>
        <v>6.317581348637144E-2</v>
      </c>
      <c r="S35" s="21">
        <f t="shared" si="19"/>
        <v>6.317581348637144E-2</v>
      </c>
      <c r="T35" s="21">
        <f t="shared" si="19"/>
        <v>6.317581348637144E-2</v>
      </c>
      <c r="U35" s="21">
        <f t="shared" si="19"/>
        <v>6.317581348637144E-2</v>
      </c>
      <c r="V35" s="21">
        <f t="shared" si="19"/>
        <v>6.317581348637144E-2</v>
      </c>
      <c r="W35" s="21">
        <f t="shared" si="19"/>
        <v>6.317581348637144E-2</v>
      </c>
      <c r="X35" s="21">
        <f t="shared" si="19"/>
        <v>6.317581348637144E-2</v>
      </c>
      <c r="Y35" s="21">
        <f t="shared" si="19"/>
        <v>6.317581348637144E-2</v>
      </c>
      <c r="Z35" s="21">
        <f t="shared" si="19"/>
        <v>6.317581348637144E-2</v>
      </c>
      <c r="AA35" s="21">
        <f t="shared" si="19"/>
        <v>6.317581348637144E-2</v>
      </c>
      <c r="AB35" s="21">
        <f t="shared" si="19"/>
        <v>6.317581348637144E-2</v>
      </c>
      <c r="AC35" s="21">
        <f t="shared" si="19"/>
        <v>6.317581348637144E-2</v>
      </c>
      <c r="AD35" s="21">
        <f t="shared" si="19"/>
        <v>6.317581348637144E-2</v>
      </c>
      <c r="AE35" s="21">
        <f t="shared" si="19"/>
        <v>6.317581348637144E-2</v>
      </c>
      <c r="AF35" s="21">
        <f t="shared" si="19"/>
        <v>6.317581348637144E-2</v>
      </c>
      <c r="AG35" s="21">
        <f t="shared" si="19"/>
        <v>6.317581348637144E-2</v>
      </c>
      <c r="AH35" s="21">
        <f t="shared" si="19"/>
        <v>6.317581348637144E-2</v>
      </c>
      <c r="AI35" s="21">
        <f t="shared" si="19"/>
        <v>6.317581348637144E-2</v>
      </c>
      <c r="AJ35" s="21">
        <f t="shared" si="19"/>
        <v>6.317581348637144E-2</v>
      </c>
      <c r="AK35" s="21">
        <f t="shared" si="19"/>
        <v>6.317581348637144E-2</v>
      </c>
      <c r="AL35" s="21">
        <f t="shared" si="19"/>
        <v>6.317581348637144E-2</v>
      </c>
      <c r="AM35" s="21">
        <f t="shared" si="19"/>
        <v>6.317581348637144E-2</v>
      </c>
      <c r="AN35" s="21">
        <f t="shared" si="19"/>
        <v>6.317581348637144E-2</v>
      </c>
    </row>
    <row r="36" spans="1:91" x14ac:dyDescent="0.35">
      <c r="A36" s="75" t="s">
        <v>70</v>
      </c>
      <c r="B36" s="75"/>
      <c r="C36" s="1"/>
      <c r="D36" s="1"/>
      <c r="E36" s="80" t="s">
        <v>3</v>
      </c>
      <c r="F36" s="15">
        <f>(F34-E34)/E34</f>
        <v>0.116170207013258</v>
      </c>
      <c r="G36" s="15">
        <f t="shared" ref="G36:AN36" si="20">(G34-F34)/F34</f>
        <v>2.6840487792540335E-2</v>
      </c>
      <c r="H36" s="15">
        <f t="shared" si="20"/>
        <v>2.7833255797091645E-3</v>
      </c>
      <c r="I36" s="15">
        <f t="shared" si="20"/>
        <v>0.10308640651281799</v>
      </c>
      <c r="J36" s="15">
        <f t="shared" si="20"/>
        <v>-4.1631828163644476E-2</v>
      </c>
      <c r="K36" s="15">
        <f t="shared" si="20"/>
        <v>1.3564054718634738E-2</v>
      </c>
      <c r="L36" s="15">
        <f t="shared" si="20"/>
        <v>0.26588181270835848</v>
      </c>
      <c r="M36" s="15">
        <f t="shared" si="20"/>
        <v>0.12515803845362194</v>
      </c>
      <c r="N36" s="15">
        <f t="shared" si="20"/>
        <v>2.0000000000000035E-2</v>
      </c>
      <c r="O36" s="15">
        <f t="shared" si="20"/>
        <v>2.0000000000000132E-2</v>
      </c>
      <c r="P36" s="15">
        <f t="shared" si="20"/>
        <v>1.999999999999982E-2</v>
      </c>
      <c r="Q36" s="15">
        <f t="shared" si="20"/>
        <v>2.0000000000000021E-2</v>
      </c>
      <c r="R36" s="15">
        <f t="shared" si="20"/>
        <v>0</v>
      </c>
      <c r="S36" s="15">
        <f t="shared" si="20"/>
        <v>0</v>
      </c>
      <c r="T36" s="15">
        <f t="shared" si="20"/>
        <v>0</v>
      </c>
      <c r="U36" s="15">
        <f t="shared" si="20"/>
        <v>0</v>
      </c>
      <c r="V36" s="15">
        <f t="shared" si="20"/>
        <v>0</v>
      </c>
      <c r="W36" s="15">
        <f t="shared" si="20"/>
        <v>0</v>
      </c>
      <c r="X36" s="15">
        <f t="shared" si="20"/>
        <v>0</v>
      </c>
      <c r="Y36" s="15">
        <f t="shared" si="20"/>
        <v>0</v>
      </c>
      <c r="Z36" s="15">
        <f t="shared" si="20"/>
        <v>0</v>
      </c>
      <c r="AA36" s="15">
        <f t="shared" si="20"/>
        <v>0</v>
      </c>
      <c r="AB36" s="15">
        <f t="shared" si="20"/>
        <v>0</v>
      </c>
      <c r="AC36" s="15">
        <f t="shared" si="20"/>
        <v>0</v>
      </c>
      <c r="AD36" s="15">
        <f t="shared" si="20"/>
        <v>0</v>
      </c>
      <c r="AE36" s="15">
        <f t="shared" si="20"/>
        <v>0</v>
      </c>
      <c r="AF36" s="15">
        <f t="shared" si="20"/>
        <v>0</v>
      </c>
      <c r="AG36" s="15">
        <f t="shared" si="20"/>
        <v>0</v>
      </c>
      <c r="AH36" s="15">
        <f t="shared" si="20"/>
        <v>0</v>
      </c>
      <c r="AI36" s="15">
        <f t="shared" si="20"/>
        <v>0</v>
      </c>
      <c r="AJ36" s="15">
        <f t="shared" si="20"/>
        <v>0</v>
      </c>
      <c r="AK36" s="15">
        <f t="shared" si="20"/>
        <v>0</v>
      </c>
      <c r="AL36" s="15">
        <f t="shared" si="20"/>
        <v>0</v>
      </c>
      <c r="AM36" s="15">
        <f t="shared" si="20"/>
        <v>0</v>
      </c>
      <c r="AN36" s="15">
        <f t="shared" si="20"/>
        <v>0</v>
      </c>
    </row>
    <row r="37" spans="1:91" x14ac:dyDescent="0.3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</row>
    <row r="38" spans="1:91" x14ac:dyDescent="0.35">
      <c r="A38" s="83" t="s">
        <v>50</v>
      </c>
      <c r="B38" s="84"/>
      <c r="C38" s="84"/>
      <c r="D38" s="84"/>
      <c r="E38" s="76">
        <f t="shared" ref="E38:AN38" si="21">E6-E13</f>
        <v>4460236</v>
      </c>
      <c r="F38" s="76">
        <f t="shared" si="21"/>
        <v>3417897</v>
      </c>
      <c r="G38" s="76">
        <f t="shared" si="21"/>
        <v>3214595</v>
      </c>
      <c r="H38" s="76">
        <f t="shared" si="21"/>
        <v>3121332</v>
      </c>
      <c r="I38" s="76">
        <f t="shared" si="21"/>
        <v>2671582</v>
      </c>
      <c r="J38" s="76">
        <f t="shared" si="21"/>
        <v>2590487</v>
      </c>
      <c r="K38" s="76">
        <f t="shared" si="21"/>
        <v>2541228.2599999979</v>
      </c>
      <c r="L38" s="47">
        <f t="shared" si="21"/>
        <v>3506881.2079999968</v>
      </c>
      <c r="M38" s="47">
        <f t="shared" si="21"/>
        <v>2569320.1376000047</v>
      </c>
      <c r="N38" s="47">
        <f t="shared" si="21"/>
        <v>4831663.5432000011</v>
      </c>
      <c r="O38" s="47">
        <f t="shared" si="21"/>
        <v>2828768.145863995</v>
      </c>
      <c r="P38" s="47">
        <f t="shared" si="21"/>
        <v>807046.64711329341</v>
      </c>
      <c r="Q38" s="47">
        <f t="shared" si="21"/>
        <v>3252827.7156886905</v>
      </c>
      <c r="R38" s="47">
        <f t="shared" si="21"/>
        <v>4166075.951310128</v>
      </c>
      <c r="S38" s="47">
        <f t="shared" si="21"/>
        <v>4166075.951310128</v>
      </c>
      <c r="T38" s="47">
        <f t="shared" si="21"/>
        <v>4166075.951310128</v>
      </c>
      <c r="U38" s="47">
        <f t="shared" si="21"/>
        <v>4166075.951310128</v>
      </c>
      <c r="V38" s="47">
        <f t="shared" si="21"/>
        <v>4166075.951310128</v>
      </c>
      <c r="W38" s="47">
        <f t="shared" si="21"/>
        <v>4166075.951310128</v>
      </c>
      <c r="X38" s="47">
        <f t="shared" si="21"/>
        <v>4166075.951310128</v>
      </c>
      <c r="Y38" s="47">
        <f t="shared" si="21"/>
        <v>4166075.951310128</v>
      </c>
      <c r="Z38" s="47">
        <f t="shared" si="21"/>
        <v>4166075.951310128</v>
      </c>
      <c r="AA38" s="47">
        <f t="shared" si="21"/>
        <v>4166075.951310128</v>
      </c>
      <c r="AB38" s="47">
        <f t="shared" si="21"/>
        <v>4166075.951310128</v>
      </c>
      <c r="AC38" s="47">
        <f t="shared" si="21"/>
        <v>4166075.951310128</v>
      </c>
      <c r="AD38" s="47">
        <f t="shared" si="21"/>
        <v>4166075.951310128</v>
      </c>
      <c r="AE38" s="47">
        <f t="shared" si="21"/>
        <v>4166075.951310128</v>
      </c>
      <c r="AF38" s="47">
        <f t="shared" si="21"/>
        <v>4166075.951310128</v>
      </c>
      <c r="AG38" s="47">
        <f t="shared" si="21"/>
        <v>4166075.951310128</v>
      </c>
      <c r="AH38" s="47">
        <f t="shared" si="21"/>
        <v>4166075.951310128</v>
      </c>
      <c r="AI38" s="47">
        <f t="shared" si="21"/>
        <v>4166075.951310128</v>
      </c>
      <c r="AJ38" s="47">
        <f t="shared" si="21"/>
        <v>4166075.951310128</v>
      </c>
      <c r="AK38" s="47">
        <f t="shared" si="21"/>
        <v>4166075.951310128</v>
      </c>
      <c r="AL38" s="47">
        <f t="shared" si="21"/>
        <v>4166075.951310128</v>
      </c>
      <c r="AM38" s="47">
        <f t="shared" si="21"/>
        <v>4166075.951310128</v>
      </c>
      <c r="AN38" s="47">
        <f t="shared" si="21"/>
        <v>4166075.951310128</v>
      </c>
    </row>
    <row r="39" spans="1:91" x14ac:dyDescent="0.3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7"/>
      <c r="M39" s="17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</row>
    <row r="40" spans="1:91" x14ac:dyDescent="0.35">
      <c r="A40" s="49" t="s">
        <v>51</v>
      </c>
      <c r="B40" s="1"/>
      <c r="C40" s="1"/>
      <c r="D40" s="1"/>
      <c r="E40" s="17">
        <v>3149484</v>
      </c>
      <c r="F40" s="17">
        <v>3158871</v>
      </c>
      <c r="G40" s="17">
        <v>3212638</v>
      </c>
      <c r="H40" s="17">
        <v>3049225</v>
      </c>
      <c r="I40" s="17">
        <v>2967786</v>
      </c>
      <c r="J40" s="17">
        <v>2645515</v>
      </c>
      <c r="K40" s="17">
        <v>2186276</v>
      </c>
      <c r="L40" s="17">
        <v>2275728</v>
      </c>
      <c r="M40" s="17">
        <v>2516435</v>
      </c>
      <c r="N40" s="17">
        <v>2516435</v>
      </c>
      <c r="O40" s="17">
        <f>(N40+'Výpočty-odpisy'!N35)</f>
        <v>3113375.64995</v>
      </c>
      <c r="P40" s="17">
        <f>(N40)+'Výpočty-odpisy'!O35</f>
        <v>3710316.2999</v>
      </c>
      <c r="Q40" s="39">
        <f>(N40)+'Výpočty-odpisy'!P35</f>
        <v>4864313.6063000001</v>
      </c>
      <c r="R40" s="39">
        <f>(N40)+'Výpočty-odpisy'!Q35</f>
        <v>4864313.6063000001</v>
      </c>
      <c r="S40" s="39">
        <f>(N40)+'Výpočty-odpisy'!R35</f>
        <v>4864313.6063000001</v>
      </c>
      <c r="T40" s="39">
        <f>(N40)+'Výpočty-odpisy'!S35</f>
        <v>4864313.6063000001</v>
      </c>
      <c r="U40" s="39">
        <f>(N40)+'Výpočty-odpisy'!T35</f>
        <v>4864313.6063000001</v>
      </c>
      <c r="V40" s="39">
        <f>(N40)+'Výpočty-odpisy'!U35</f>
        <v>4864313.6063000001</v>
      </c>
      <c r="W40" s="39">
        <f>(N40)+'Výpočty-odpisy'!V35</f>
        <v>4639313.6063000001</v>
      </c>
      <c r="X40" s="39">
        <f>(N40)+'Výpočty-odpisy'!W35</f>
        <v>4414313.6063000001</v>
      </c>
      <c r="Y40" s="39">
        <f>(N40)+'Výpočty-odpisy'!X35</f>
        <v>3919313.6062999996</v>
      </c>
      <c r="Z40" s="39">
        <f>(N40)+'Výpočty-odpisy'!Y35</f>
        <v>3874313.6062999996</v>
      </c>
      <c r="AA40" s="39">
        <f>($N$40)+'Výpočty-odpisy'!Z35</f>
        <v>3784313.6062999996</v>
      </c>
      <c r="AB40" s="39">
        <f>($N$40)+'Výpočty-odpisy'!AA35</f>
        <v>2516435</v>
      </c>
      <c r="AC40" s="39">
        <f>($N$40)+'Výpočty-odpisy'!AB35</f>
        <v>2516435</v>
      </c>
      <c r="AD40" s="39">
        <f>($N$40)+'Výpočty-odpisy'!AC35</f>
        <v>2516435</v>
      </c>
      <c r="AE40" s="39">
        <f>($N$40)+'Výpočty-odpisy'!AD35</f>
        <v>2516435</v>
      </c>
      <c r="AF40" s="39">
        <f>($N$40)+'Výpočty-odpisy'!AE35</f>
        <v>2516435</v>
      </c>
      <c r="AG40" s="39">
        <f>($N$40)+'Výpočty-odpisy'!AF35</f>
        <v>2516435</v>
      </c>
      <c r="AH40" s="39">
        <f>($N$40)+'Výpočty-odpisy'!AG35</f>
        <v>2516435</v>
      </c>
      <c r="AI40" s="39">
        <f>($N$40)+'Výpočty-odpisy'!AH35</f>
        <v>2516435</v>
      </c>
      <c r="AJ40" s="39">
        <f>($N$40)+'Výpočty-odpisy'!AI35</f>
        <v>2516435</v>
      </c>
      <c r="AK40" s="39">
        <f>($N$40)+'Výpočty-odpisy'!AJ35</f>
        <v>2516435</v>
      </c>
      <c r="AL40" s="39">
        <f>($N$40)+'Výpočty-odpisy'!AK35</f>
        <v>2516435</v>
      </c>
      <c r="AM40" s="39">
        <f>($N$40)+'Výpočty-odpisy'!AL35</f>
        <v>2516435</v>
      </c>
      <c r="AN40" s="39">
        <f>($N$40)+'Výpočty-odpisy'!AM35</f>
        <v>2516435</v>
      </c>
    </row>
    <row r="41" spans="1:91" x14ac:dyDescent="0.3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7"/>
      <c r="M41" s="17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</row>
    <row r="42" spans="1:91" x14ac:dyDescent="0.35">
      <c r="A42" s="45" t="s">
        <v>52</v>
      </c>
      <c r="B42" s="46"/>
      <c r="C42" s="46"/>
      <c r="D42" s="46"/>
      <c r="E42" s="47">
        <f t="shared" ref="E42:K42" si="22">E38-E40</f>
        <v>1310752</v>
      </c>
      <c r="F42" s="47">
        <f t="shared" si="22"/>
        <v>259026</v>
      </c>
      <c r="G42" s="47">
        <f t="shared" si="22"/>
        <v>1957</v>
      </c>
      <c r="H42" s="47">
        <f t="shared" si="22"/>
        <v>72107</v>
      </c>
      <c r="I42" s="47">
        <f t="shared" si="22"/>
        <v>-296204</v>
      </c>
      <c r="J42" s="47">
        <f t="shared" si="22"/>
        <v>-55028</v>
      </c>
      <c r="K42" s="47">
        <f t="shared" si="22"/>
        <v>354952.25999999791</v>
      </c>
      <c r="L42" s="47">
        <f>L38-L40</f>
        <v>1231153.2079999968</v>
      </c>
      <c r="M42" s="47">
        <f>M38-M40</f>
        <v>52885.137600004673</v>
      </c>
      <c r="N42" s="47">
        <f t="shared" ref="N42:AN42" si="23">N38-N40</f>
        <v>2315228.5432000011</v>
      </c>
      <c r="O42" s="47">
        <f t="shared" si="23"/>
        <v>-284607.50408600504</v>
      </c>
      <c r="P42" s="47">
        <f t="shared" si="23"/>
        <v>-2903269.6527867066</v>
      </c>
      <c r="Q42" s="47">
        <f t="shared" si="23"/>
        <v>-1611485.8906113096</v>
      </c>
      <c r="R42" s="47">
        <f t="shared" si="23"/>
        <v>-698237.65498987213</v>
      </c>
      <c r="S42" s="47">
        <f t="shared" si="23"/>
        <v>-698237.65498987213</v>
      </c>
      <c r="T42" s="47">
        <f t="shared" si="23"/>
        <v>-698237.65498987213</v>
      </c>
      <c r="U42" s="47">
        <f t="shared" si="23"/>
        <v>-698237.65498987213</v>
      </c>
      <c r="V42" s="47">
        <f t="shared" si="23"/>
        <v>-698237.65498987213</v>
      </c>
      <c r="W42" s="47">
        <f t="shared" si="23"/>
        <v>-473237.65498987213</v>
      </c>
      <c r="X42" s="47">
        <f t="shared" si="23"/>
        <v>-248237.65498987213</v>
      </c>
      <c r="Y42" s="47">
        <f t="shared" si="23"/>
        <v>246762.34501012834</v>
      </c>
      <c r="Z42" s="47">
        <f t="shared" si="23"/>
        <v>291762.34501012834</v>
      </c>
      <c r="AA42" s="47">
        <f t="shared" si="23"/>
        <v>381762.34501012834</v>
      </c>
      <c r="AB42" s="47">
        <f t="shared" si="23"/>
        <v>1649640.951310128</v>
      </c>
      <c r="AC42" s="47">
        <f t="shared" si="23"/>
        <v>1649640.951310128</v>
      </c>
      <c r="AD42" s="47">
        <f t="shared" si="23"/>
        <v>1649640.951310128</v>
      </c>
      <c r="AE42" s="47">
        <f t="shared" si="23"/>
        <v>1649640.951310128</v>
      </c>
      <c r="AF42" s="47">
        <f t="shared" si="23"/>
        <v>1649640.951310128</v>
      </c>
      <c r="AG42" s="47">
        <f t="shared" si="23"/>
        <v>1649640.951310128</v>
      </c>
      <c r="AH42" s="47">
        <f t="shared" si="23"/>
        <v>1649640.951310128</v>
      </c>
      <c r="AI42" s="47">
        <f t="shared" si="23"/>
        <v>1649640.951310128</v>
      </c>
      <c r="AJ42" s="47">
        <f t="shared" si="23"/>
        <v>1649640.951310128</v>
      </c>
      <c r="AK42" s="47">
        <f t="shared" si="23"/>
        <v>1649640.951310128</v>
      </c>
      <c r="AL42" s="47">
        <f t="shared" si="23"/>
        <v>1649640.951310128</v>
      </c>
      <c r="AM42" s="47">
        <f t="shared" si="23"/>
        <v>1649640.951310128</v>
      </c>
      <c r="AN42" s="47">
        <f t="shared" si="23"/>
        <v>1649640.951310128</v>
      </c>
    </row>
    <row r="43" spans="1:91" x14ac:dyDescent="0.3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</row>
    <row r="44" spans="1:91" x14ac:dyDescent="0.35">
      <c r="A44" s="1" t="s">
        <v>53</v>
      </c>
      <c r="B44" s="1"/>
      <c r="C44" s="1"/>
      <c r="D44" s="1"/>
      <c r="E44" s="17">
        <v>2682</v>
      </c>
      <c r="F44" s="17">
        <v>3460</v>
      </c>
      <c r="G44" s="17">
        <v>1226</v>
      </c>
      <c r="H44" s="17">
        <v>2185</v>
      </c>
      <c r="I44" s="17">
        <v>3</v>
      </c>
      <c r="J44" s="17">
        <v>27</v>
      </c>
      <c r="K44" s="17">
        <v>0</v>
      </c>
      <c r="L44" s="17">
        <v>0</v>
      </c>
      <c r="M44" s="17">
        <v>0</v>
      </c>
      <c r="N44" s="17">
        <v>0</v>
      </c>
      <c r="O44" s="17">
        <v>0</v>
      </c>
      <c r="P44" s="17">
        <v>0</v>
      </c>
      <c r="Q44" s="17">
        <v>0</v>
      </c>
      <c r="R44" s="17">
        <v>0</v>
      </c>
      <c r="S44" s="17">
        <v>0</v>
      </c>
      <c r="T44" s="17">
        <v>0</v>
      </c>
      <c r="U44" s="17">
        <v>0</v>
      </c>
      <c r="V44" s="17">
        <v>0</v>
      </c>
      <c r="W44" s="17">
        <v>0</v>
      </c>
      <c r="X44" s="17">
        <v>0</v>
      </c>
      <c r="Y44" s="17">
        <v>0</v>
      </c>
      <c r="Z44" s="17">
        <v>0</v>
      </c>
      <c r="AA44" s="17">
        <v>0</v>
      </c>
      <c r="AB44" s="17">
        <v>0</v>
      </c>
      <c r="AC44" s="17">
        <v>0</v>
      </c>
      <c r="AD44" s="17">
        <v>0</v>
      </c>
      <c r="AE44" s="17">
        <v>0</v>
      </c>
      <c r="AF44" s="17">
        <v>0</v>
      </c>
      <c r="AG44" s="17">
        <v>0</v>
      </c>
      <c r="AH44" s="17">
        <v>0</v>
      </c>
      <c r="AI44" s="17">
        <v>0</v>
      </c>
      <c r="AJ44" s="17">
        <v>0</v>
      </c>
      <c r="AK44" s="17">
        <v>0</v>
      </c>
      <c r="AL44" s="17">
        <v>0</v>
      </c>
      <c r="AM44" s="17">
        <v>0</v>
      </c>
      <c r="AN44" s="17">
        <v>0</v>
      </c>
    </row>
    <row r="45" spans="1:91" x14ac:dyDescent="0.35">
      <c r="A45" s="1" t="s">
        <v>54</v>
      </c>
      <c r="B45" s="1"/>
      <c r="C45" s="1"/>
      <c r="D45" s="1"/>
      <c r="E45" s="17">
        <v>282022</v>
      </c>
      <c r="F45" s="17">
        <v>-1082</v>
      </c>
      <c r="G45" s="17">
        <v>-7545</v>
      </c>
      <c r="H45" s="17">
        <v>7083</v>
      </c>
      <c r="I45" s="17">
        <v>-5088</v>
      </c>
      <c r="J45" s="17">
        <v>-49390</v>
      </c>
      <c r="K45" s="17">
        <v>34006</v>
      </c>
      <c r="L45" s="17">
        <f>L42*0.13</f>
        <v>160049.91703999959</v>
      </c>
      <c r="M45" s="17">
        <f t="shared" ref="M45:AN45" si="24">M42*0.13</f>
        <v>6875.067888000608</v>
      </c>
      <c r="N45" s="17">
        <f t="shared" si="24"/>
        <v>300979.71061600017</v>
      </c>
      <c r="O45" s="17">
        <f t="shared" si="24"/>
        <v>-36998.975531180658</v>
      </c>
      <c r="P45" s="17">
        <f t="shared" si="24"/>
        <v>-377425.05486227188</v>
      </c>
      <c r="Q45" s="17">
        <f t="shared" si="24"/>
        <v>-209493.16577947026</v>
      </c>
      <c r="R45" s="17">
        <f t="shared" si="24"/>
        <v>-90770.895148683383</v>
      </c>
      <c r="S45" s="17">
        <f t="shared" si="24"/>
        <v>-90770.895148683383</v>
      </c>
      <c r="T45" s="17">
        <f t="shared" si="24"/>
        <v>-90770.895148683383</v>
      </c>
      <c r="U45" s="17">
        <f t="shared" si="24"/>
        <v>-90770.895148683383</v>
      </c>
      <c r="V45" s="17">
        <f t="shared" si="24"/>
        <v>-90770.895148683383</v>
      </c>
      <c r="W45" s="17">
        <f t="shared" si="24"/>
        <v>-61520.895148683376</v>
      </c>
      <c r="X45" s="17">
        <f t="shared" si="24"/>
        <v>-32270.895148683379</v>
      </c>
      <c r="Y45" s="17">
        <f t="shared" si="24"/>
        <v>32079.104851316686</v>
      </c>
      <c r="Z45" s="17">
        <f t="shared" si="24"/>
        <v>37929.104851316682</v>
      </c>
      <c r="AA45" s="17">
        <f t="shared" si="24"/>
        <v>49629.104851316682</v>
      </c>
      <c r="AB45" s="17">
        <f t="shared" si="24"/>
        <v>214453.32367031663</v>
      </c>
      <c r="AC45" s="17">
        <f t="shared" si="24"/>
        <v>214453.32367031663</v>
      </c>
      <c r="AD45" s="17">
        <f t="shared" si="24"/>
        <v>214453.32367031663</v>
      </c>
      <c r="AE45" s="17">
        <f t="shared" si="24"/>
        <v>214453.32367031663</v>
      </c>
      <c r="AF45" s="17">
        <f t="shared" si="24"/>
        <v>214453.32367031663</v>
      </c>
      <c r="AG45" s="17">
        <f t="shared" si="24"/>
        <v>214453.32367031663</v>
      </c>
      <c r="AH45" s="17">
        <f t="shared" si="24"/>
        <v>214453.32367031663</v>
      </c>
      <c r="AI45" s="17">
        <f t="shared" si="24"/>
        <v>214453.32367031663</v>
      </c>
      <c r="AJ45" s="17">
        <f t="shared" si="24"/>
        <v>214453.32367031663</v>
      </c>
      <c r="AK45" s="17">
        <f t="shared" si="24"/>
        <v>214453.32367031663</v>
      </c>
      <c r="AL45" s="17">
        <f t="shared" si="24"/>
        <v>214453.32367031663</v>
      </c>
      <c r="AM45" s="17">
        <f t="shared" si="24"/>
        <v>214453.32367031663</v>
      </c>
      <c r="AN45" s="17">
        <f t="shared" si="24"/>
        <v>214453.32367031663</v>
      </c>
    </row>
    <row r="46" spans="1:91" x14ac:dyDescent="0.35">
      <c r="A46" s="1"/>
      <c r="B46" s="1"/>
      <c r="C46" s="85"/>
      <c r="D46" s="1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</row>
    <row r="47" spans="1:91" s="234" customFormat="1" x14ac:dyDescent="0.35">
      <c r="A47" s="231" t="s">
        <v>55</v>
      </c>
      <c r="B47" s="232"/>
      <c r="C47" s="232"/>
      <c r="D47" s="232"/>
      <c r="E47" s="233">
        <f t="shared" ref="E47:AN47" si="25">E42+E44-E45</f>
        <v>1031412</v>
      </c>
      <c r="F47" s="233">
        <f t="shared" si="25"/>
        <v>263568</v>
      </c>
      <c r="G47" s="233">
        <f t="shared" si="25"/>
        <v>10728</v>
      </c>
      <c r="H47" s="233">
        <f t="shared" si="25"/>
        <v>67209</v>
      </c>
      <c r="I47" s="233">
        <f t="shared" si="25"/>
        <v>-291113</v>
      </c>
      <c r="J47" s="233">
        <f t="shared" si="25"/>
        <v>-5611</v>
      </c>
      <c r="K47" s="233">
        <f t="shared" si="25"/>
        <v>320946.25999999791</v>
      </c>
      <c r="L47" s="233">
        <f t="shared" si="25"/>
        <v>1071103.2909599973</v>
      </c>
      <c r="M47" s="233">
        <f t="shared" si="25"/>
        <v>46010.069712004064</v>
      </c>
      <c r="N47" s="233">
        <f t="shared" si="25"/>
        <v>2014248.8325840009</v>
      </c>
      <c r="O47" s="233">
        <f t="shared" si="25"/>
        <v>-247608.52855482438</v>
      </c>
      <c r="P47" s="233">
        <f t="shared" si="25"/>
        <v>-2525844.5979244346</v>
      </c>
      <c r="Q47" s="233">
        <f t="shared" si="25"/>
        <v>-1401992.7248318393</v>
      </c>
      <c r="R47" s="233">
        <f t="shared" si="25"/>
        <v>-607466.75984118879</v>
      </c>
      <c r="S47" s="233">
        <f t="shared" si="25"/>
        <v>-607466.75984118879</v>
      </c>
      <c r="T47" s="233">
        <f t="shared" si="25"/>
        <v>-607466.75984118879</v>
      </c>
      <c r="U47" s="233">
        <f t="shared" si="25"/>
        <v>-607466.75984118879</v>
      </c>
      <c r="V47" s="233">
        <f t="shared" si="25"/>
        <v>-607466.75984118879</v>
      </c>
      <c r="W47" s="233">
        <f t="shared" si="25"/>
        <v>-411716.75984118873</v>
      </c>
      <c r="X47" s="233">
        <f t="shared" si="25"/>
        <v>-215966.75984118876</v>
      </c>
      <c r="Y47" s="233">
        <f t="shared" si="25"/>
        <v>214683.24015881165</v>
      </c>
      <c r="Z47" s="233">
        <f t="shared" si="25"/>
        <v>253833.24015881165</v>
      </c>
      <c r="AA47" s="233">
        <f t="shared" si="25"/>
        <v>332133.24015881168</v>
      </c>
      <c r="AB47" s="233">
        <f t="shared" si="25"/>
        <v>1435187.6276398113</v>
      </c>
      <c r="AC47" s="233">
        <f t="shared" si="25"/>
        <v>1435187.6276398113</v>
      </c>
      <c r="AD47" s="233">
        <f t="shared" si="25"/>
        <v>1435187.6276398113</v>
      </c>
      <c r="AE47" s="233">
        <f t="shared" si="25"/>
        <v>1435187.6276398113</v>
      </c>
      <c r="AF47" s="233">
        <f t="shared" si="25"/>
        <v>1435187.6276398113</v>
      </c>
      <c r="AG47" s="233">
        <f t="shared" si="25"/>
        <v>1435187.6276398113</v>
      </c>
      <c r="AH47" s="233">
        <f t="shared" si="25"/>
        <v>1435187.6276398113</v>
      </c>
      <c r="AI47" s="233">
        <f t="shared" si="25"/>
        <v>1435187.6276398113</v>
      </c>
      <c r="AJ47" s="233">
        <f t="shared" si="25"/>
        <v>1435187.6276398113</v>
      </c>
      <c r="AK47" s="233">
        <f t="shared" si="25"/>
        <v>1435187.6276398113</v>
      </c>
      <c r="AL47" s="233">
        <f t="shared" si="25"/>
        <v>1435187.6276398113</v>
      </c>
      <c r="AM47" s="233">
        <f t="shared" si="25"/>
        <v>1435187.6276398113</v>
      </c>
      <c r="AN47" s="233">
        <f t="shared" si="25"/>
        <v>1435187.6276398113</v>
      </c>
      <c r="AO47" s="235"/>
      <c r="AP47" s="235"/>
      <c r="AQ47" s="235"/>
      <c r="AR47" s="235"/>
      <c r="AS47" s="235"/>
      <c r="AT47" s="235"/>
      <c r="AU47" s="235"/>
      <c r="AV47" s="235"/>
      <c r="AW47" s="235"/>
      <c r="AX47" s="235"/>
      <c r="AY47" s="235"/>
      <c r="AZ47" s="235"/>
      <c r="BA47" s="235"/>
      <c r="BB47" s="235"/>
      <c r="BC47" s="235"/>
      <c r="BD47" s="235"/>
      <c r="BE47" s="235"/>
      <c r="BF47" s="235"/>
      <c r="BG47" s="235"/>
      <c r="BH47" s="235"/>
      <c r="BI47" s="235"/>
      <c r="BJ47" s="235"/>
      <c r="BK47" s="235"/>
      <c r="BL47" s="235"/>
      <c r="BM47" s="235"/>
      <c r="BN47" s="235"/>
      <c r="BO47" s="235"/>
      <c r="BP47" s="235"/>
      <c r="BQ47" s="235"/>
      <c r="BR47" s="235"/>
      <c r="BS47" s="235"/>
      <c r="BT47" s="235"/>
      <c r="BU47" s="235"/>
      <c r="BV47" s="235"/>
      <c r="BW47" s="235"/>
      <c r="BX47" s="235"/>
      <c r="BY47" s="235"/>
      <c r="BZ47" s="235"/>
      <c r="CA47" s="235"/>
      <c r="CB47" s="235"/>
      <c r="CC47" s="235"/>
      <c r="CD47" s="235"/>
      <c r="CE47" s="235"/>
      <c r="CF47" s="235"/>
      <c r="CG47" s="235"/>
      <c r="CH47" s="235"/>
      <c r="CI47" s="235"/>
      <c r="CJ47" s="235"/>
      <c r="CK47" s="235"/>
      <c r="CL47" s="235"/>
      <c r="CM47" s="235"/>
    </row>
    <row r="48" spans="1:91" x14ac:dyDescent="0.35">
      <c r="A48" s="1" t="s">
        <v>71</v>
      </c>
      <c r="E48" s="51">
        <f t="shared" ref="E48:AN48" si="26">E38/E6</f>
        <v>0.1139048675001508</v>
      </c>
      <c r="F48" s="51">
        <f t="shared" si="26"/>
        <v>8.1492195194328626E-2</v>
      </c>
      <c r="G48" s="51">
        <f t="shared" si="26"/>
        <v>7.5697688591290807E-2</v>
      </c>
      <c r="H48" s="51">
        <f t="shared" si="26"/>
        <v>7.0774526547011718E-2</v>
      </c>
      <c r="I48" s="51">
        <f t="shared" si="26"/>
        <v>5.4075402256321278E-2</v>
      </c>
      <c r="J48" s="51">
        <f t="shared" si="26"/>
        <v>5.2024010250538689E-2</v>
      </c>
      <c r="K48" s="51">
        <f t="shared" si="26"/>
        <v>4.5163163888638065E-2</v>
      </c>
      <c r="L48" s="51">
        <f t="shared" si="26"/>
        <v>6.0321867679200107E-2</v>
      </c>
      <c r="M48" s="51">
        <f t="shared" si="26"/>
        <v>3.2861517086160343E-2</v>
      </c>
      <c r="N48" s="51">
        <f t="shared" si="26"/>
        <v>6.1796812221211528E-2</v>
      </c>
      <c r="O48" s="51">
        <f t="shared" si="26"/>
        <v>3.6179848278824159E-2</v>
      </c>
      <c r="P48" s="51">
        <f t="shared" si="26"/>
        <v>1.0322099140286542E-2</v>
      </c>
      <c r="Q48" s="51">
        <f t="shared" si="26"/>
        <v>4.0787799744675841E-2</v>
      </c>
      <c r="R48" s="51">
        <f t="shared" si="26"/>
        <v>5.2239185863912491E-2</v>
      </c>
      <c r="S48" s="51">
        <f t="shared" si="26"/>
        <v>5.2239185863912491E-2</v>
      </c>
      <c r="T48" s="51">
        <f t="shared" si="26"/>
        <v>5.2239185863912491E-2</v>
      </c>
      <c r="U48" s="51">
        <f t="shared" si="26"/>
        <v>5.2239185863912491E-2</v>
      </c>
      <c r="V48" s="51">
        <f t="shared" si="26"/>
        <v>5.2239185863912491E-2</v>
      </c>
      <c r="W48" s="51">
        <f t="shared" si="26"/>
        <v>5.2239185863912491E-2</v>
      </c>
      <c r="X48" s="51">
        <f t="shared" si="26"/>
        <v>5.2239185863912491E-2</v>
      </c>
      <c r="Y48" s="51">
        <f t="shared" si="26"/>
        <v>5.2239185863912491E-2</v>
      </c>
      <c r="Z48" s="51">
        <f t="shared" si="26"/>
        <v>5.2239185863912491E-2</v>
      </c>
      <c r="AA48" s="51">
        <f t="shared" si="26"/>
        <v>5.2239185863912491E-2</v>
      </c>
      <c r="AB48" s="51">
        <f t="shared" si="26"/>
        <v>5.2239185863912491E-2</v>
      </c>
      <c r="AC48" s="51">
        <f t="shared" si="26"/>
        <v>5.2239185863912491E-2</v>
      </c>
      <c r="AD48" s="51">
        <f t="shared" si="26"/>
        <v>5.2239185863912491E-2</v>
      </c>
      <c r="AE48" s="51">
        <f t="shared" si="26"/>
        <v>5.2239185863912491E-2</v>
      </c>
      <c r="AF48" s="51">
        <f t="shared" si="26"/>
        <v>5.2239185863912491E-2</v>
      </c>
      <c r="AG48" s="51">
        <f t="shared" si="26"/>
        <v>5.2239185863912491E-2</v>
      </c>
      <c r="AH48" s="51">
        <f t="shared" si="26"/>
        <v>5.2239185863912491E-2</v>
      </c>
      <c r="AI48" s="51">
        <f t="shared" si="26"/>
        <v>5.2239185863912491E-2</v>
      </c>
      <c r="AJ48" s="51">
        <f t="shared" si="26"/>
        <v>5.2239185863912491E-2</v>
      </c>
      <c r="AK48" s="51">
        <f t="shared" si="26"/>
        <v>5.2239185863912491E-2</v>
      </c>
      <c r="AL48" s="51">
        <f t="shared" si="26"/>
        <v>5.2239185863912491E-2</v>
      </c>
      <c r="AM48" s="51">
        <f t="shared" si="26"/>
        <v>5.2239185863912491E-2</v>
      </c>
      <c r="AN48" s="51">
        <f t="shared" si="26"/>
        <v>5.2239185863912491E-2</v>
      </c>
    </row>
    <row r="50" spans="1:40" x14ac:dyDescent="0.35">
      <c r="A50" s="39" t="s">
        <v>57</v>
      </c>
      <c r="B50" s="39"/>
      <c r="C50" s="39"/>
      <c r="D50" s="39"/>
      <c r="E50" s="17">
        <f>E40</f>
        <v>3149484</v>
      </c>
      <c r="F50" s="17">
        <f t="shared" ref="F50:AN50" si="27">F40</f>
        <v>3158871</v>
      </c>
      <c r="G50" s="17">
        <f t="shared" si="27"/>
        <v>3212638</v>
      </c>
      <c r="H50" s="17">
        <f t="shared" si="27"/>
        <v>3049225</v>
      </c>
      <c r="I50" s="17">
        <f t="shared" si="27"/>
        <v>2967786</v>
      </c>
      <c r="J50" s="17">
        <f t="shared" si="27"/>
        <v>2645515</v>
      </c>
      <c r="K50" s="17">
        <f t="shared" si="27"/>
        <v>2186276</v>
      </c>
      <c r="L50" s="17">
        <f t="shared" si="27"/>
        <v>2275728</v>
      </c>
      <c r="M50" s="17">
        <f t="shared" si="27"/>
        <v>2516435</v>
      </c>
      <c r="N50" s="17">
        <f t="shared" si="27"/>
        <v>2516435</v>
      </c>
      <c r="O50" s="17">
        <f t="shared" si="27"/>
        <v>3113375.64995</v>
      </c>
      <c r="P50" s="17">
        <f t="shared" si="27"/>
        <v>3710316.2999</v>
      </c>
      <c r="Q50" s="17">
        <f t="shared" si="27"/>
        <v>4864313.6063000001</v>
      </c>
      <c r="R50" s="17">
        <f t="shared" si="27"/>
        <v>4864313.6063000001</v>
      </c>
      <c r="S50" s="17">
        <f t="shared" si="27"/>
        <v>4864313.6063000001</v>
      </c>
      <c r="T50" s="17">
        <f t="shared" si="27"/>
        <v>4864313.6063000001</v>
      </c>
      <c r="U50" s="17">
        <f t="shared" si="27"/>
        <v>4864313.6063000001</v>
      </c>
      <c r="V50" s="17">
        <f t="shared" si="27"/>
        <v>4864313.6063000001</v>
      </c>
      <c r="W50" s="17">
        <f t="shared" si="27"/>
        <v>4639313.6063000001</v>
      </c>
      <c r="X50" s="17">
        <f t="shared" si="27"/>
        <v>4414313.6063000001</v>
      </c>
      <c r="Y50" s="17">
        <f t="shared" si="27"/>
        <v>3919313.6062999996</v>
      </c>
      <c r="Z50" s="17">
        <f t="shared" si="27"/>
        <v>3874313.6062999996</v>
      </c>
      <c r="AA50" s="17">
        <f t="shared" si="27"/>
        <v>3784313.6062999996</v>
      </c>
      <c r="AB50" s="17">
        <f t="shared" si="27"/>
        <v>2516435</v>
      </c>
      <c r="AC50" s="17">
        <f t="shared" si="27"/>
        <v>2516435</v>
      </c>
      <c r="AD50" s="17">
        <f t="shared" si="27"/>
        <v>2516435</v>
      </c>
      <c r="AE50" s="17">
        <f t="shared" si="27"/>
        <v>2516435</v>
      </c>
      <c r="AF50" s="17">
        <f t="shared" si="27"/>
        <v>2516435</v>
      </c>
      <c r="AG50" s="17">
        <f t="shared" si="27"/>
        <v>2516435</v>
      </c>
      <c r="AH50" s="17">
        <f t="shared" si="27"/>
        <v>2516435</v>
      </c>
      <c r="AI50" s="17">
        <f t="shared" si="27"/>
        <v>2516435</v>
      </c>
      <c r="AJ50" s="17">
        <f t="shared" si="27"/>
        <v>2516435</v>
      </c>
      <c r="AK50" s="17">
        <f t="shared" si="27"/>
        <v>2516435</v>
      </c>
      <c r="AL50" s="17">
        <f t="shared" si="27"/>
        <v>2516435</v>
      </c>
      <c r="AM50" s="17">
        <f t="shared" si="27"/>
        <v>2516435</v>
      </c>
      <c r="AN50" s="17">
        <f t="shared" si="27"/>
        <v>2516435</v>
      </c>
    </row>
    <row r="51" spans="1:40" x14ac:dyDescent="0.35">
      <c r="A51" s="1" t="s">
        <v>58</v>
      </c>
      <c r="B51" s="1"/>
      <c r="C51" s="1"/>
      <c r="D51" s="1"/>
      <c r="E51" s="17">
        <v>889852</v>
      </c>
      <c r="F51" s="17">
        <v>1439702</v>
      </c>
      <c r="G51" s="17">
        <v>1528366</v>
      </c>
      <c r="H51" s="17">
        <v>629312</v>
      </c>
      <c r="I51" s="17">
        <v>482283</v>
      </c>
      <c r="J51" s="17">
        <v>1191600</v>
      </c>
      <c r="K51" s="17">
        <v>2630982</v>
      </c>
      <c r="L51" s="17">
        <v>993903</v>
      </c>
      <c r="M51" s="17">
        <f>L51*1.01</f>
        <v>1003842.03</v>
      </c>
      <c r="N51" s="17">
        <f t="shared" ref="N51:Q52" si="28">M51*1.01</f>
        <v>1013880.4503</v>
      </c>
      <c r="O51" s="17">
        <f t="shared" si="28"/>
        <v>1024019.254803</v>
      </c>
      <c r="P51" s="17">
        <f t="shared" si="28"/>
        <v>1034259.4473510301</v>
      </c>
      <c r="Q51" s="17">
        <f t="shared" si="28"/>
        <v>1044602.0418245404</v>
      </c>
      <c r="R51" s="17">
        <f>Q51</f>
        <v>1044602.0418245404</v>
      </c>
      <c r="S51" s="17">
        <f t="shared" ref="S51:AN51" si="29">R51</f>
        <v>1044602.0418245404</v>
      </c>
      <c r="T51" s="17">
        <f t="shared" si="29"/>
        <v>1044602.0418245404</v>
      </c>
      <c r="U51" s="17">
        <f t="shared" si="29"/>
        <v>1044602.0418245404</v>
      </c>
      <c r="V51" s="17">
        <f t="shared" si="29"/>
        <v>1044602.0418245404</v>
      </c>
      <c r="W51" s="17">
        <f t="shared" si="29"/>
        <v>1044602.0418245404</v>
      </c>
      <c r="X51" s="17">
        <f t="shared" si="29"/>
        <v>1044602.0418245404</v>
      </c>
      <c r="Y51" s="17">
        <f t="shared" si="29"/>
        <v>1044602.0418245404</v>
      </c>
      <c r="Z51" s="17">
        <f t="shared" si="29"/>
        <v>1044602.0418245404</v>
      </c>
      <c r="AA51" s="17">
        <f t="shared" si="29"/>
        <v>1044602.0418245404</v>
      </c>
      <c r="AB51" s="17">
        <f t="shared" si="29"/>
        <v>1044602.0418245404</v>
      </c>
      <c r="AC51" s="17">
        <f t="shared" si="29"/>
        <v>1044602.0418245404</v>
      </c>
      <c r="AD51" s="17">
        <f t="shared" si="29"/>
        <v>1044602.0418245404</v>
      </c>
      <c r="AE51" s="17">
        <f t="shared" si="29"/>
        <v>1044602.0418245404</v>
      </c>
      <c r="AF51" s="17">
        <f t="shared" si="29"/>
        <v>1044602.0418245404</v>
      </c>
      <c r="AG51" s="17">
        <f t="shared" si="29"/>
        <v>1044602.0418245404</v>
      </c>
      <c r="AH51" s="17">
        <f t="shared" si="29"/>
        <v>1044602.0418245404</v>
      </c>
      <c r="AI51" s="17">
        <f t="shared" si="29"/>
        <v>1044602.0418245404</v>
      </c>
      <c r="AJ51" s="17">
        <f t="shared" si="29"/>
        <v>1044602.0418245404</v>
      </c>
      <c r="AK51" s="17">
        <f t="shared" si="29"/>
        <v>1044602.0418245404</v>
      </c>
      <c r="AL51" s="17">
        <f t="shared" si="29"/>
        <v>1044602.0418245404</v>
      </c>
      <c r="AM51" s="17">
        <f t="shared" si="29"/>
        <v>1044602.0418245404</v>
      </c>
      <c r="AN51" s="17">
        <f t="shared" si="29"/>
        <v>1044602.0418245404</v>
      </c>
    </row>
    <row r="52" spans="1:40" x14ac:dyDescent="0.35">
      <c r="A52" s="17" t="s">
        <v>59</v>
      </c>
      <c r="B52" s="52"/>
      <c r="C52" s="52"/>
      <c r="D52" s="17"/>
      <c r="E52" s="17">
        <v>1088648</v>
      </c>
      <c r="F52" s="17">
        <v>481238</v>
      </c>
      <c r="G52" s="17">
        <v>1179429</v>
      </c>
      <c r="H52" s="17">
        <v>287516</v>
      </c>
      <c r="I52" s="17">
        <v>1267483</v>
      </c>
      <c r="J52" s="17">
        <v>916989</v>
      </c>
      <c r="K52" s="17">
        <v>3401000</v>
      </c>
      <c r="L52" s="17">
        <v>860863</v>
      </c>
      <c r="M52" s="17">
        <f>L52*1.01</f>
        <v>869471.63</v>
      </c>
      <c r="N52" s="17">
        <f t="shared" si="28"/>
        <v>878166.34629999998</v>
      </c>
      <c r="O52" s="17">
        <f t="shared" si="28"/>
        <v>886948.00976299995</v>
      </c>
      <c r="P52" s="17">
        <f t="shared" si="28"/>
        <v>895817.48986063001</v>
      </c>
      <c r="Q52" s="17">
        <f t="shared" si="28"/>
        <v>904775.66475923627</v>
      </c>
      <c r="R52" s="17">
        <f>Q52</f>
        <v>904775.66475923627</v>
      </c>
      <c r="S52" s="17">
        <f t="shared" ref="S52:AN52" si="30">R52</f>
        <v>904775.66475923627</v>
      </c>
      <c r="T52" s="17">
        <f t="shared" si="30"/>
        <v>904775.66475923627</v>
      </c>
      <c r="U52" s="17">
        <f t="shared" si="30"/>
        <v>904775.66475923627</v>
      </c>
      <c r="V52" s="17">
        <f t="shared" si="30"/>
        <v>904775.66475923627</v>
      </c>
      <c r="W52" s="17">
        <f t="shared" si="30"/>
        <v>904775.66475923627</v>
      </c>
      <c r="X52" s="17">
        <f t="shared" si="30"/>
        <v>904775.66475923627</v>
      </c>
      <c r="Y52" s="17">
        <f t="shared" si="30"/>
        <v>904775.66475923627</v>
      </c>
      <c r="Z52" s="17">
        <f t="shared" si="30"/>
        <v>904775.66475923627</v>
      </c>
      <c r="AA52" s="17">
        <f t="shared" si="30"/>
        <v>904775.66475923627</v>
      </c>
      <c r="AB52" s="17">
        <f t="shared" si="30"/>
        <v>904775.66475923627</v>
      </c>
      <c r="AC52" s="17">
        <f t="shared" si="30"/>
        <v>904775.66475923627</v>
      </c>
      <c r="AD52" s="17">
        <f t="shared" si="30"/>
        <v>904775.66475923627</v>
      </c>
      <c r="AE52" s="17">
        <f t="shared" si="30"/>
        <v>904775.66475923627</v>
      </c>
      <c r="AF52" s="17">
        <f t="shared" si="30"/>
        <v>904775.66475923627</v>
      </c>
      <c r="AG52" s="17">
        <f t="shared" si="30"/>
        <v>904775.66475923627</v>
      </c>
      <c r="AH52" s="17">
        <f t="shared" si="30"/>
        <v>904775.66475923627</v>
      </c>
      <c r="AI52" s="17">
        <f t="shared" si="30"/>
        <v>904775.66475923627</v>
      </c>
      <c r="AJ52" s="17">
        <f t="shared" si="30"/>
        <v>904775.66475923627</v>
      </c>
      <c r="AK52" s="17">
        <f t="shared" si="30"/>
        <v>904775.66475923627</v>
      </c>
      <c r="AL52" s="17">
        <f t="shared" si="30"/>
        <v>904775.66475923627</v>
      </c>
      <c r="AM52" s="17">
        <f t="shared" si="30"/>
        <v>904775.66475923627</v>
      </c>
      <c r="AN52" s="17">
        <f t="shared" si="30"/>
        <v>904775.66475923627</v>
      </c>
    </row>
    <row r="53" spans="1:40" x14ac:dyDescent="0.35">
      <c r="A53" s="53"/>
      <c r="B53" s="53"/>
      <c r="C53" s="53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</row>
    <row r="54" spans="1:40" x14ac:dyDescent="0.35">
      <c r="A54" s="54" t="s">
        <v>60</v>
      </c>
      <c r="B54" s="55"/>
      <c r="C54" s="55"/>
      <c r="D54" s="46"/>
      <c r="E54" s="47">
        <f>E47+E50-E51-E52</f>
        <v>2202396</v>
      </c>
      <c r="F54" s="47">
        <f t="shared" ref="F54:AN54" si="31">F47+F50-F51-F52</f>
        <v>1501499</v>
      </c>
      <c r="G54" s="47">
        <f t="shared" si="31"/>
        <v>515571</v>
      </c>
      <c r="H54" s="47">
        <f t="shared" si="31"/>
        <v>2199606</v>
      </c>
      <c r="I54" s="47">
        <f t="shared" si="31"/>
        <v>926907</v>
      </c>
      <c r="J54" s="47">
        <f t="shared" si="31"/>
        <v>531315</v>
      </c>
      <c r="K54" s="47">
        <f t="shared" si="31"/>
        <v>-3524759.7400000021</v>
      </c>
      <c r="L54" s="47">
        <f t="shared" si="31"/>
        <v>1492065.2909599971</v>
      </c>
      <c r="M54" s="47">
        <f t="shared" si="31"/>
        <v>689131.40971200413</v>
      </c>
      <c r="N54" s="47">
        <f t="shared" si="31"/>
        <v>2638637.0359840011</v>
      </c>
      <c r="O54" s="47">
        <f t="shared" si="31"/>
        <v>954799.85682917584</v>
      </c>
      <c r="P54" s="47">
        <f t="shared" si="31"/>
        <v>-745605.23523609468</v>
      </c>
      <c r="Q54" s="47">
        <f t="shared" si="31"/>
        <v>1512943.1748843845</v>
      </c>
      <c r="R54" s="47">
        <f t="shared" si="31"/>
        <v>2307469.1398750348</v>
      </c>
      <c r="S54" s="47">
        <f t="shared" si="31"/>
        <v>2307469.1398750348</v>
      </c>
      <c r="T54" s="47">
        <f t="shared" si="31"/>
        <v>2307469.1398750348</v>
      </c>
      <c r="U54" s="47">
        <f t="shared" si="31"/>
        <v>2307469.1398750348</v>
      </c>
      <c r="V54" s="47">
        <f t="shared" si="31"/>
        <v>2307469.1398750348</v>
      </c>
      <c r="W54" s="47">
        <f t="shared" si="31"/>
        <v>2278219.1398750348</v>
      </c>
      <c r="X54" s="47">
        <f t="shared" si="31"/>
        <v>2248969.1398750348</v>
      </c>
      <c r="Y54" s="47">
        <f t="shared" si="31"/>
        <v>2184619.1398750348</v>
      </c>
      <c r="Z54" s="47">
        <f t="shared" si="31"/>
        <v>2178769.1398750348</v>
      </c>
      <c r="AA54" s="47">
        <f t="shared" si="31"/>
        <v>2167069.1398750348</v>
      </c>
      <c r="AB54" s="47">
        <f t="shared" si="31"/>
        <v>2002244.921056035</v>
      </c>
      <c r="AC54" s="47">
        <f t="shared" si="31"/>
        <v>2002244.921056035</v>
      </c>
      <c r="AD54" s="47">
        <f t="shared" si="31"/>
        <v>2002244.921056035</v>
      </c>
      <c r="AE54" s="47">
        <f t="shared" si="31"/>
        <v>2002244.921056035</v>
      </c>
      <c r="AF54" s="47">
        <f t="shared" si="31"/>
        <v>2002244.921056035</v>
      </c>
      <c r="AG54" s="47">
        <f t="shared" si="31"/>
        <v>2002244.921056035</v>
      </c>
      <c r="AH54" s="47">
        <f t="shared" si="31"/>
        <v>2002244.921056035</v>
      </c>
      <c r="AI54" s="47">
        <f t="shared" si="31"/>
        <v>2002244.921056035</v>
      </c>
      <c r="AJ54" s="47">
        <f t="shared" si="31"/>
        <v>2002244.921056035</v>
      </c>
      <c r="AK54" s="47">
        <f t="shared" si="31"/>
        <v>2002244.921056035</v>
      </c>
      <c r="AL54" s="47">
        <f t="shared" si="31"/>
        <v>2002244.921056035</v>
      </c>
      <c r="AM54" s="47">
        <f t="shared" si="31"/>
        <v>2002244.921056035</v>
      </c>
      <c r="AN54" s="47">
        <f t="shared" si="31"/>
        <v>2002244.921056035</v>
      </c>
    </row>
    <row r="55" spans="1:40" x14ac:dyDescent="0.35">
      <c r="A55" s="56"/>
      <c r="B55" s="57"/>
      <c r="C55" s="57"/>
      <c r="D55" s="3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</row>
    <row r="56" spans="1:40" x14ac:dyDescent="0.35">
      <c r="A56" s="59" t="s">
        <v>61</v>
      </c>
      <c r="B56" s="57"/>
      <c r="C56" s="57"/>
      <c r="D56" s="3"/>
      <c r="E56" s="39">
        <v>9805</v>
      </c>
      <c r="F56" s="39">
        <v>12061</v>
      </c>
      <c r="G56" s="39">
        <v>13511</v>
      </c>
      <c r="H56" s="39">
        <v>16916</v>
      </c>
      <c r="I56" s="39">
        <v>21638</v>
      </c>
      <c r="J56" s="39">
        <v>24099</v>
      </c>
      <c r="K56" s="39">
        <v>0</v>
      </c>
      <c r="L56" s="39">
        <v>16338</v>
      </c>
      <c r="M56" s="39">
        <f>L56*1.01</f>
        <v>16501.38</v>
      </c>
      <c r="N56" s="39">
        <f t="shared" ref="N56:Q56" si="32">M56*1.01</f>
        <v>16666.393800000002</v>
      </c>
      <c r="O56" s="39">
        <f t="shared" si="32"/>
        <v>16833.057738000003</v>
      </c>
      <c r="P56" s="39">
        <f t="shared" si="32"/>
        <v>17001.388315380002</v>
      </c>
      <c r="Q56" s="39">
        <f t="shared" si="32"/>
        <v>17171.4021985338</v>
      </c>
      <c r="R56" s="39">
        <f>Q56</f>
        <v>17171.4021985338</v>
      </c>
      <c r="S56" s="39">
        <f t="shared" ref="S56:AN56" si="33">R56</f>
        <v>17171.4021985338</v>
      </c>
      <c r="T56" s="39">
        <f t="shared" si="33"/>
        <v>17171.4021985338</v>
      </c>
      <c r="U56" s="39">
        <f t="shared" si="33"/>
        <v>17171.4021985338</v>
      </c>
      <c r="V56" s="39">
        <f t="shared" si="33"/>
        <v>17171.4021985338</v>
      </c>
      <c r="W56" s="39">
        <f t="shared" si="33"/>
        <v>17171.4021985338</v>
      </c>
      <c r="X56" s="39">
        <f t="shared" si="33"/>
        <v>17171.4021985338</v>
      </c>
      <c r="Y56" s="39">
        <f t="shared" si="33"/>
        <v>17171.4021985338</v>
      </c>
      <c r="Z56" s="39">
        <f t="shared" si="33"/>
        <v>17171.4021985338</v>
      </c>
      <c r="AA56" s="39">
        <f t="shared" si="33"/>
        <v>17171.4021985338</v>
      </c>
      <c r="AB56" s="39">
        <f t="shared" si="33"/>
        <v>17171.4021985338</v>
      </c>
      <c r="AC56" s="39">
        <f t="shared" si="33"/>
        <v>17171.4021985338</v>
      </c>
      <c r="AD56" s="39">
        <f t="shared" si="33"/>
        <v>17171.4021985338</v>
      </c>
      <c r="AE56" s="39">
        <f t="shared" si="33"/>
        <v>17171.4021985338</v>
      </c>
      <c r="AF56" s="39">
        <f t="shared" si="33"/>
        <v>17171.4021985338</v>
      </c>
      <c r="AG56" s="39">
        <f t="shared" si="33"/>
        <v>17171.4021985338</v>
      </c>
      <c r="AH56" s="39">
        <f t="shared" si="33"/>
        <v>17171.4021985338</v>
      </c>
      <c r="AI56" s="39">
        <f t="shared" si="33"/>
        <v>17171.4021985338</v>
      </c>
      <c r="AJ56" s="39">
        <f t="shared" si="33"/>
        <v>17171.4021985338</v>
      </c>
      <c r="AK56" s="39">
        <f t="shared" si="33"/>
        <v>17171.4021985338</v>
      </c>
      <c r="AL56" s="39">
        <f t="shared" si="33"/>
        <v>17171.4021985338</v>
      </c>
      <c r="AM56" s="39">
        <f t="shared" si="33"/>
        <v>17171.4021985338</v>
      </c>
      <c r="AN56" s="39">
        <f t="shared" si="33"/>
        <v>17171.4021985338</v>
      </c>
    </row>
    <row r="57" spans="1:40" s="2" customFormat="1" x14ac:dyDescent="0.35">
      <c r="A57" s="59" t="s">
        <v>62</v>
      </c>
      <c r="B57" s="57"/>
      <c r="C57" s="57"/>
      <c r="D57" s="3"/>
      <c r="E57" s="93">
        <v>0</v>
      </c>
      <c r="F57" s="93">
        <v>0</v>
      </c>
      <c r="G57" s="93">
        <v>0</v>
      </c>
      <c r="H57" s="93">
        <v>0</v>
      </c>
      <c r="I57" s="93">
        <v>0</v>
      </c>
      <c r="J57" s="93">
        <v>0</v>
      </c>
      <c r="K57" s="93">
        <v>0</v>
      </c>
      <c r="L57" s="93">
        <v>0</v>
      </c>
      <c r="M57" s="93">
        <v>0</v>
      </c>
      <c r="N57" s="93">
        <v>0</v>
      </c>
      <c r="O57" s="93">
        <v>0</v>
      </c>
      <c r="P57" s="93">
        <v>0</v>
      </c>
      <c r="Q57" s="93">
        <v>0</v>
      </c>
      <c r="R57" s="93">
        <v>0</v>
      </c>
      <c r="S57" s="93">
        <v>0</v>
      </c>
      <c r="T57" s="93">
        <v>0</v>
      </c>
      <c r="U57" s="93">
        <v>0</v>
      </c>
      <c r="V57" s="93">
        <v>0</v>
      </c>
      <c r="W57" s="93">
        <v>0</v>
      </c>
      <c r="X57" s="93">
        <v>0</v>
      </c>
      <c r="Y57" s="93">
        <v>0</v>
      </c>
      <c r="Z57" s="93">
        <v>0</v>
      </c>
      <c r="AA57" s="93">
        <v>0</v>
      </c>
      <c r="AB57" s="93">
        <v>0</v>
      </c>
      <c r="AC57" s="93">
        <v>0</v>
      </c>
      <c r="AD57" s="93">
        <v>0</v>
      </c>
      <c r="AE57" s="93">
        <v>0</v>
      </c>
      <c r="AF57" s="93">
        <v>0</v>
      </c>
      <c r="AG57" s="93">
        <v>0</v>
      </c>
      <c r="AH57" s="93">
        <v>0</v>
      </c>
      <c r="AI57" s="93">
        <v>0</v>
      </c>
      <c r="AJ57" s="93">
        <v>0</v>
      </c>
      <c r="AK57" s="93">
        <v>0</v>
      </c>
      <c r="AL57" s="93">
        <v>0</v>
      </c>
      <c r="AM57" s="93">
        <v>0</v>
      </c>
      <c r="AN57" s="93">
        <v>0</v>
      </c>
    </row>
    <row r="58" spans="1:40" x14ac:dyDescent="0.35">
      <c r="A58" s="59"/>
      <c r="B58" s="57"/>
      <c r="C58" s="57"/>
      <c r="D58" s="3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8"/>
      <c r="AK58" s="58"/>
      <c r="AL58" s="58"/>
      <c r="AM58" s="58"/>
      <c r="AN58" s="58"/>
    </row>
    <row r="59" spans="1:40" ht="15" thickBot="1" x14ac:dyDescent="0.4">
      <c r="A59" s="60" t="s">
        <v>63</v>
      </c>
      <c r="B59" s="61"/>
      <c r="C59" s="61"/>
      <c r="D59" s="62"/>
      <c r="E59" s="63">
        <f>E54-E56-E57</f>
        <v>2192591</v>
      </c>
      <c r="F59" s="63">
        <f t="shared" ref="F59:AN59" si="34">F54-F56-F57</f>
        <v>1489438</v>
      </c>
      <c r="G59" s="63">
        <f t="shared" si="34"/>
        <v>502060</v>
      </c>
      <c r="H59" s="63">
        <f t="shared" si="34"/>
        <v>2182690</v>
      </c>
      <c r="I59" s="63">
        <f t="shared" si="34"/>
        <v>905269</v>
      </c>
      <c r="J59" s="63">
        <f t="shared" si="34"/>
        <v>507216</v>
      </c>
      <c r="K59" s="63">
        <f t="shared" si="34"/>
        <v>-3524759.7400000021</v>
      </c>
      <c r="L59" s="63">
        <f t="shared" si="34"/>
        <v>1475727.2909599971</v>
      </c>
      <c r="M59" s="63">
        <f t="shared" si="34"/>
        <v>672630.02971200412</v>
      </c>
      <c r="N59" s="63">
        <f t="shared" si="34"/>
        <v>2621970.6421840009</v>
      </c>
      <c r="O59" s="63">
        <f t="shared" si="34"/>
        <v>937966.7990911759</v>
      </c>
      <c r="P59" s="63">
        <f t="shared" si="34"/>
        <v>-762606.62355147465</v>
      </c>
      <c r="Q59" s="63">
        <f t="shared" si="34"/>
        <v>1495771.7726858507</v>
      </c>
      <c r="R59" s="63">
        <f t="shared" si="34"/>
        <v>2290297.7376765008</v>
      </c>
      <c r="S59" s="63">
        <f t="shared" si="34"/>
        <v>2290297.7376765008</v>
      </c>
      <c r="T59" s="63">
        <f t="shared" si="34"/>
        <v>2290297.7376765008</v>
      </c>
      <c r="U59" s="63">
        <f t="shared" si="34"/>
        <v>2290297.7376765008</v>
      </c>
      <c r="V59" s="63">
        <f t="shared" si="34"/>
        <v>2290297.7376765008</v>
      </c>
      <c r="W59" s="63">
        <f t="shared" si="34"/>
        <v>2261047.7376765008</v>
      </c>
      <c r="X59" s="63">
        <f t="shared" si="34"/>
        <v>2231797.7376765008</v>
      </c>
      <c r="Y59" s="63">
        <f t="shared" si="34"/>
        <v>2167447.7376765008</v>
      </c>
      <c r="Z59" s="63">
        <f t="shared" si="34"/>
        <v>2161597.7376765008</v>
      </c>
      <c r="AA59" s="63">
        <f t="shared" si="34"/>
        <v>2149897.7376765008</v>
      </c>
      <c r="AB59" s="63">
        <f t="shared" si="34"/>
        <v>1985073.5188575012</v>
      </c>
      <c r="AC59" s="63">
        <f t="shared" si="34"/>
        <v>1985073.5188575012</v>
      </c>
      <c r="AD59" s="63">
        <f t="shared" si="34"/>
        <v>1985073.5188575012</v>
      </c>
      <c r="AE59" s="63">
        <f t="shared" si="34"/>
        <v>1985073.5188575012</v>
      </c>
      <c r="AF59" s="63">
        <f t="shared" si="34"/>
        <v>1985073.5188575012</v>
      </c>
      <c r="AG59" s="63">
        <f t="shared" si="34"/>
        <v>1985073.5188575012</v>
      </c>
      <c r="AH59" s="63">
        <f t="shared" si="34"/>
        <v>1985073.5188575012</v>
      </c>
      <c r="AI59" s="63">
        <f t="shared" si="34"/>
        <v>1985073.5188575012</v>
      </c>
      <c r="AJ59" s="63">
        <f t="shared" si="34"/>
        <v>1985073.5188575012</v>
      </c>
      <c r="AK59" s="63">
        <f t="shared" si="34"/>
        <v>1985073.5188575012</v>
      </c>
      <c r="AL59" s="63">
        <f t="shared" si="34"/>
        <v>1985073.5188575012</v>
      </c>
      <c r="AM59" s="63">
        <f t="shared" si="34"/>
        <v>1985073.5188575012</v>
      </c>
      <c r="AN59" s="63">
        <f t="shared" si="34"/>
        <v>1985073.5188575012</v>
      </c>
    </row>
  </sheetData>
  <mergeCells count="12">
    <mergeCell ref="A11:B11"/>
    <mergeCell ref="A12:B12"/>
    <mergeCell ref="A26:B26"/>
    <mergeCell ref="A30:B30"/>
    <mergeCell ref="A34:B34"/>
    <mergeCell ref="I1:AN3"/>
    <mergeCell ref="A10:B10"/>
    <mergeCell ref="D1:H3"/>
    <mergeCell ref="A1:C3"/>
    <mergeCell ref="A4:E4"/>
    <mergeCell ref="A8:B8"/>
    <mergeCell ref="A9:B9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30"/>
  <sheetViews>
    <sheetView topLeftCell="A10" zoomScale="70" zoomScaleNormal="70" workbookViewId="0">
      <selection activeCell="F47" sqref="F47"/>
    </sheetView>
  </sheetViews>
  <sheetFormatPr defaultRowHeight="14.5" x14ac:dyDescent="0.35"/>
  <cols>
    <col min="1" max="1" width="10.08984375" customWidth="1"/>
    <col min="2" max="2" width="9.81640625" customWidth="1"/>
    <col min="3" max="3" width="14.08984375" customWidth="1"/>
    <col min="4" max="4" width="20.6328125" customWidth="1"/>
    <col min="5" max="5" width="10.453125" customWidth="1"/>
    <col min="6" max="6" width="13.453125" bestFit="1" customWidth="1"/>
    <col min="7" max="7" width="9.6328125" customWidth="1"/>
    <col min="8" max="8" width="11" customWidth="1"/>
    <col min="9" max="9" width="11.7265625" customWidth="1"/>
    <col min="10" max="10" width="11.453125" customWidth="1"/>
    <col min="11" max="19" width="10.6328125" customWidth="1"/>
    <col min="20" max="34" width="9.6328125" customWidth="1"/>
    <col min="35" max="35" width="10.26953125" customWidth="1"/>
  </cols>
  <sheetData>
    <row r="1" spans="1:58" x14ac:dyDescent="0.35">
      <c r="A1" s="278"/>
      <c r="B1" s="278"/>
      <c r="C1" s="278"/>
      <c r="D1" s="329" t="s">
        <v>72</v>
      </c>
      <c r="E1" s="329"/>
      <c r="F1" s="329"/>
      <c r="G1" s="329"/>
      <c r="H1" s="329"/>
    </row>
    <row r="2" spans="1:58" x14ac:dyDescent="0.35">
      <c r="A2" s="278"/>
      <c r="B2" s="278"/>
      <c r="C2" s="278"/>
      <c r="D2" s="329"/>
      <c r="E2" s="329"/>
      <c r="F2" s="329"/>
      <c r="G2" s="329"/>
      <c r="H2" s="329"/>
    </row>
    <row r="3" spans="1:58" ht="32.5" customHeight="1" x14ac:dyDescent="0.35">
      <c r="A3" s="278"/>
      <c r="B3" s="278"/>
      <c r="C3" s="278"/>
      <c r="D3" s="329"/>
      <c r="E3" s="329"/>
      <c r="F3" s="329"/>
      <c r="G3" s="329"/>
      <c r="H3" s="329"/>
    </row>
    <row r="4" spans="1:58" ht="0.5" hidden="1" customHeight="1" x14ac:dyDescent="0.35"/>
    <row r="5" spans="1:58" ht="0.5" hidden="1" customHeight="1" x14ac:dyDescent="0.35"/>
    <row r="6" spans="1:58" ht="0.5" hidden="1" customHeight="1" x14ac:dyDescent="0.35"/>
    <row r="7" spans="1:58" ht="29" customHeight="1" x14ac:dyDescent="0.35">
      <c r="A7" s="308" t="s">
        <v>0</v>
      </c>
      <c r="B7" s="308"/>
      <c r="C7" s="308"/>
      <c r="D7" s="308"/>
      <c r="E7" s="308"/>
      <c r="F7" s="125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</row>
    <row r="8" spans="1:58" ht="14.5" customHeight="1" x14ac:dyDescent="0.35">
      <c r="A8" s="133"/>
      <c r="B8" s="133"/>
      <c r="C8" s="133"/>
      <c r="D8" s="133"/>
      <c r="E8" s="133"/>
      <c r="F8" s="13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</row>
    <row r="9" spans="1:58" ht="14.5" customHeight="1" x14ac:dyDescent="0.35">
      <c r="A9" s="95" t="s">
        <v>74</v>
      </c>
      <c r="B9" s="96"/>
      <c r="C9" s="97"/>
      <c r="D9" s="98"/>
      <c r="E9" s="124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</row>
    <row r="10" spans="1:58" ht="27" customHeight="1" x14ac:dyDescent="0.35">
      <c r="A10" s="99" t="s">
        <v>75</v>
      </c>
      <c r="B10" s="100"/>
      <c r="C10" s="101">
        <v>0</v>
      </c>
      <c r="D10" s="102" t="s">
        <v>76</v>
      </c>
      <c r="E10" s="124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</row>
    <row r="11" spans="1:58" s="2" customFormat="1" ht="17" customHeight="1" x14ac:dyDescent="0.35">
      <c r="A11" s="309" t="s">
        <v>77</v>
      </c>
      <c r="B11" s="282"/>
      <c r="C11" s="105">
        <v>0</v>
      </c>
      <c r="D11" s="106" t="s">
        <v>76</v>
      </c>
      <c r="E11" s="124"/>
      <c r="F11" s="1"/>
      <c r="G11" s="49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</row>
    <row r="12" spans="1:58" x14ac:dyDescent="0.35">
      <c r="A12" s="309" t="s">
        <v>78</v>
      </c>
      <c r="B12" s="282"/>
      <c r="C12" s="105">
        <v>0</v>
      </c>
      <c r="D12" s="106" t="s">
        <v>76</v>
      </c>
      <c r="E12" s="124"/>
      <c r="F12" s="1"/>
      <c r="G12" s="1"/>
      <c r="H12" s="202"/>
      <c r="I12" s="202"/>
      <c r="J12" s="202"/>
      <c r="K12" s="202"/>
      <c r="L12" s="202"/>
      <c r="M12" s="202"/>
      <c r="N12" s="202"/>
      <c r="O12" s="202"/>
      <c r="P12" s="202"/>
      <c r="Q12" s="202"/>
      <c r="R12" s="202"/>
      <c r="S12" s="202"/>
      <c r="T12" s="202"/>
      <c r="U12" s="202"/>
      <c r="V12" s="202"/>
      <c r="W12" s="202"/>
      <c r="X12" s="202"/>
      <c r="Y12" s="202"/>
      <c r="Z12" s="202"/>
      <c r="AA12" s="202"/>
      <c r="AB12" s="202"/>
      <c r="AC12" s="202"/>
      <c r="AD12" s="202"/>
      <c r="AE12" s="202"/>
      <c r="AF12" s="202"/>
      <c r="AG12" s="202"/>
      <c r="AH12" s="202"/>
      <c r="AI12" s="202"/>
    </row>
    <row r="13" spans="1:58" x14ac:dyDescent="0.35">
      <c r="A13" s="107"/>
      <c r="B13" s="108"/>
      <c r="C13" s="100"/>
      <c r="D13" s="102"/>
      <c r="E13" s="124"/>
      <c r="F13" s="1"/>
      <c r="G13" s="1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</row>
    <row r="14" spans="1:58" x14ac:dyDescent="0.35">
      <c r="A14" s="310" t="s">
        <v>79</v>
      </c>
      <c r="B14" s="311"/>
      <c r="C14" s="109">
        <v>0.04</v>
      </c>
      <c r="D14" s="110"/>
      <c r="E14" s="12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</row>
    <row r="15" spans="1:58" x14ac:dyDescent="0.35">
      <c r="A15" s="100"/>
      <c r="B15" s="100"/>
      <c r="C15" s="132"/>
      <c r="D15" s="100"/>
      <c r="E15" s="124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200"/>
      <c r="AK15" s="200"/>
      <c r="AL15" s="200"/>
      <c r="AM15" s="200"/>
      <c r="AN15" s="200"/>
      <c r="AO15" s="200"/>
      <c r="AP15" s="200"/>
      <c r="AQ15" s="200"/>
      <c r="AR15" s="200"/>
      <c r="AS15" s="200"/>
      <c r="AT15" s="200"/>
      <c r="AU15" s="200"/>
      <c r="AV15" s="200"/>
      <c r="AW15" s="200"/>
      <c r="AX15" s="200"/>
      <c r="AY15" s="200"/>
      <c r="AZ15" s="200"/>
      <c r="BA15" s="200"/>
      <c r="BB15" s="200"/>
      <c r="BC15" s="200"/>
      <c r="BD15" s="200"/>
      <c r="BE15" s="200"/>
      <c r="BF15" s="201"/>
    </row>
    <row r="16" spans="1:58" x14ac:dyDescent="0.35">
      <c r="A16" s="5"/>
      <c r="B16" s="5"/>
      <c r="C16" s="5"/>
      <c r="D16" s="5"/>
      <c r="E16" s="5"/>
      <c r="F16" s="193">
        <v>2021</v>
      </c>
      <c r="G16" s="194">
        <v>2022</v>
      </c>
      <c r="H16" s="194">
        <v>2023</v>
      </c>
      <c r="I16" s="194">
        <v>2024</v>
      </c>
      <c r="J16" s="194">
        <v>2025</v>
      </c>
      <c r="K16" s="194">
        <v>2026</v>
      </c>
      <c r="L16" s="194">
        <v>2027</v>
      </c>
      <c r="M16" s="194">
        <v>2028</v>
      </c>
      <c r="N16" s="194">
        <v>2029</v>
      </c>
      <c r="O16" s="194">
        <v>2030</v>
      </c>
      <c r="P16" s="194">
        <v>2031</v>
      </c>
      <c r="Q16" s="194">
        <v>2032</v>
      </c>
      <c r="R16" s="194">
        <v>2033</v>
      </c>
      <c r="S16" s="194">
        <v>2034</v>
      </c>
      <c r="T16" s="194">
        <v>2035</v>
      </c>
      <c r="U16" s="194">
        <v>2036</v>
      </c>
      <c r="V16" s="194">
        <v>2037</v>
      </c>
      <c r="W16" s="194">
        <v>2038</v>
      </c>
      <c r="X16" s="194">
        <v>2039</v>
      </c>
      <c r="Y16" s="194">
        <v>2040</v>
      </c>
      <c r="Z16" s="194">
        <v>2041</v>
      </c>
      <c r="AA16" s="194">
        <v>2042</v>
      </c>
      <c r="AB16" s="194">
        <v>2043</v>
      </c>
      <c r="AC16" s="194">
        <v>2044</v>
      </c>
      <c r="AD16" s="194">
        <v>2045</v>
      </c>
      <c r="AE16" s="194">
        <v>2046</v>
      </c>
      <c r="AF16" s="194">
        <v>2047</v>
      </c>
      <c r="AG16" s="194">
        <v>2048</v>
      </c>
      <c r="AH16" s="194">
        <v>2049</v>
      </c>
      <c r="AI16" s="194">
        <v>2050</v>
      </c>
    </row>
    <row r="17" spans="1:35" x14ac:dyDescent="0.35">
      <c r="A17" s="191" t="s">
        <v>80</v>
      </c>
      <c r="B17" s="9"/>
      <c r="C17" s="9"/>
      <c r="D17" s="9"/>
      <c r="E17" s="9"/>
      <c r="F17" s="9"/>
      <c r="G17" s="192">
        <f>'Status quo'!L59-'Status quo'!L50</f>
        <v>-1819081.48</v>
      </c>
      <c r="H17" s="192">
        <f>'Status quo'!M59-'Status quo'!M50</f>
        <v>-1843968.3502879958</v>
      </c>
      <c r="I17" s="192">
        <f>'Status quo'!N59-'Status quo'!N50</f>
        <v>-1843968.3850880014</v>
      </c>
      <c r="J17" s="192">
        <f>'Status quo'!O59-'Status quo'!O50</f>
        <v>-1843968.3850880014</v>
      </c>
      <c r="K17" s="192">
        <f>'Status quo'!P59-'Status quo'!P50</f>
        <v>-1843968.3850880014</v>
      </c>
      <c r="L17" s="192">
        <f>'Status quo'!Q59-'Status quo'!Q50</f>
        <v>-1843968.3850880014</v>
      </c>
      <c r="M17" s="192">
        <f>'Status quo'!R59-'Status quo'!R50</f>
        <v>-1843968.3850880014</v>
      </c>
      <c r="N17" s="192">
        <f>'Status quo'!S59-'Status quo'!S50</f>
        <v>-1843968.3850880014</v>
      </c>
      <c r="O17" s="192">
        <f>'Status quo'!T59-'Status quo'!T50</f>
        <v>-1843968.3850880014</v>
      </c>
      <c r="P17" s="192">
        <f>'Status quo'!U59-'Status quo'!U50</f>
        <v>-1843968.3850880014</v>
      </c>
      <c r="Q17" s="192">
        <f>'Status quo'!V59-'Status quo'!V50</f>
        <v>-1843968.3850880014</v>
      </c>
      <c r="R17" s="192">
        <f>'Status quo'!W59-'Status quo'!W50</f>
        <v>-1843968.3850880014</v>
      </c>
      <c r="S17" s="192">
        <f>'Status quo'!X59-'Status quo'!X50</f>
        <v>-1843968.3850880014</v>
      </c>
      <c r="T17" s="192">
        <f>'Status quo'!Y59-'Status quo'!Y50</f>
        <v>-1843968.3850880014</v>
      </c>
      <c r="U17" s="192">
        <f>'Status quo'!Z59-'Status quo'!Z50</f>
        <v>-1843968.3850880014</v>
      </c>
      <c r="V17" s="192">
        <f>'Status quo'!AA59-'Status quo'!AA50</f>
        <v>-1843968.3850880014</v>
      </c>
      <c r="W17" s="192">
        <f>'Status quo'!AB59-'Status quo'!AB50</f>
        <v>-1843968.3850880014</v>
      </c>
      <c r="X17" s="192">
        <f>'Status quo'!AC59-'Status quo'!AC50</f>
        <v>-1843968.3850880014</v>
      </c>
      <c r="Y17" s="192">
        <f>'Status quo'!AD59-'Status quo'!AD50</f>
        <v>-1843968.3850880014</v>
      </c>
      <c r="Z17" s="192">
        <f>'Status quo'!AE59-'Status quo'!AE50</f>
        <v>-1843968.3850880014</v>
      </c>
      <c r="AA17" s="192">
        <f>'Status quo'!AF59-'Status quo'!AF50</f>
        <v>-1843968.3850880014</v>
      </c>
      <c r="AB17" s="192">
        <f>'Status quo'!AG59-'Status quo'!AG50</f>
        <v>-1843968.3850880014</v>
      </c>
      <c r="AC17" s="192">
        <f>'Status quo'!AH59-'Status quo'!AH50</f>
        <v>-1843968.3850880014</v>
      </c>
      <c r="AD17" s="192">
        <f>'Status quo'!AI59-'Status quo'!AI50</f>
        <v>-1843968.3850880014</v>
      </c>
      <c r="AE17" s="192">
        <f>'Status quo'!AJ59-'Status quo'!AJ50</f>
        <v>-1843968.3850880014</v>
      </c>
      <c r="AF17" s="192">
        <f>'Status quo'!AK59-'Status quo'!AK50</f>
        <v>-1843968.3850880014</v>
      </c>
      <c r="AG17" s="192">
        <f>'Status quo'!AL59-'Status quo'!AL50</f>
        <v>-1843968.3850880014</v>
      </c>
      <c r="AH17" s="192">
        <f>'Status quo'!AM59-'Status quo'!AM50</f>
        <v>-1843968.3850880014</v>
      </c>
      <c r="AI17" s="192">
        <f>'Status quo'!AN59-'Status quo'!AN50</f>
        <v>-1843968.3850880014</v>
      </c>
    </row>
    <row r="18" spans="1:35" x14ac:dyDescent="0.35">
      <c r="A18" s="1"/>
      <c r="B18" s="1"/>
      <c r="C18" s="1"/>
      <c r="D18" s="1"/>
      <c r="E18" s="1"/>
      <c r="F18" s="1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</row>
    <row r="19" spans="1:35" x14ac:dyDescent="0.35">
      <c r="A19" s="333" t="s">
        <v>81</v>
      </c>
      <c r="B19" s="333"/>
      <c r="C19" s="333"/>
      <c r="D19" s="333"/>
      <c r="E19" s="333"/>
      <c r="F19" s="126"/>
      <c r="G19" s="17">
        <f>'Status quo'!L2</f>
        <v>0</v>
      </c>
      <c r="H19" s="17">
        <f>'Status quo'!M2</f>
        <v>0</v>
      </c>
      <c r="I19" s="17">
        <f>'Status quo'!N2</f>
        <v>0</v>
      </c>
      <c r="J19" s="17">
        <f>'Status quo'!O2</f>
        <v>0</v>
      </c>
      <c r="K19" s="17">
        <f>'Status quo'!P2</f>
        <v>0</v>
      </c>
      <c r="L19" s="17">
        <f>'Status quo'!Q2</f>
        <v>0</v>
      </c>
      <c r="M19" s="17">
        <f>'Status quo'!R2</f>
        <v>0</v>
      </c>
      <c r="N19" s="17">
        <f>'Status quo'!S2</f>
        <v>0</v>
      </c>
      <c r="O19" s="17">
        <f>'Status quo'!T2</f>
        <v>0</v>
      </c>
      <c r="P19" s="17">
        <f>'Status quo'!U2</f>
        <v>0</v>
      </c>
      <c r="Q19" s="17">
        <f>'Status quo'!V2</f>
        <v>0</v>
      </c>
      <c r="R19" s="17">
        <f>'Status quo'!W2</f>
        <v>0</v>
      </c>
      <c r="S19" s="17">
        <f>'Status quo'!X2</f>
        <v>0</v>
      </c>
      <c r="T19" s="17">
        <f>'Status quo'!Y2</f>
        <v>0</v>
      </c>
      <c r="U19" s="17">
        <f>'Status quo'!Z2</f>
        <v>0</v>
      </c>
      <c r="V19" s="17">
        <f>'Status quo'!AA2</f>
        <v>0</v>
      </c>
      <c r="W19" s="17">
        <f>'Status quo'!AB2</f>
        <v>0</v>
      </c>
      <c r="X19" s="17">
        <f>'Status quo'!AC2</f>
        <v>0</v>
      </c>
      <c r="Y19" s="17">
        <f>'Status quo'!AD2</f>
        <v>0</v>
      </c>
      <c r="Z19" s="17">
        <f>'Status quo'!AE2</f>
        <v>0</v>
      </c>
      <c r="AA19" s="17">
        <f>'Status quo'!AF2</f>
        <v>0</v>
      </c>
      <c r="AB19" s="17">
        <f>'Status quo'!AG2</f>
        <v>0</v>
      </c>
      <c r="AC19" s="17">
        <f>'Status quo'!AH2</f>
        <v>0</v>
      </c>
      <c r="AD19" s="17">
        <f>'Status quo'!AI2</f>
        <v>0</v>
      </c>
      <c r="AE19" s="17">
        <f>'Status quo'!AJ2</f>
        <v>0</v>
      </c>
      <c r="AF19" s="17">
        <f>'Status quo'!AK2</f>
        <v>0</v>
      </c>
      <c r="AG19" s="17">
        <f>'Status quo'!AL2</f>
        <v>0</v>
      </c>
      <c r="AH19" s="17">
        <f>'Status quo'!AM2</f>
        <v>0</v>
      </c>
      <c r="AI19" s="17">
        <f>'Status quo'!AN2</f>
        <v>0</v>
      </c>
    </row>
    <row r="20" spans="1:35" x14ac:dyDescent="0.35">
      <c r="A20" s="113"/>
      <c r="B20" s="113"/>
      <c r="C20" s="113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</row>
    <row r="21" spans="1:35" ht="14.5" customHeight="1" x14ac:dyDescent="0.35">
      <c r="A21" s="333" t="s">
        <v>82</v>
      </c>
      <c r="B21" s="333"/>
      <c r="C21" s="333"/>
      <c r="D21" s="1"/>
      <c r="E21" s="1"/>
      <c r="F21" s="1"/>
      <c r="G21" s="1">
        <v>0</v>
      </c>
      <c r="H21" s="17">
        <f>H22</f>
        <v>0</v>
      </c>
      <c r="I21" s="17">
        <f t="shared" ref="I21:AI21" si="0">I22</f>
        <v>0</v>
      </c>
      <c r="J21" s="17">
        <f t="shared" si="0"/>
        <v>0</v>
      </c>
      <c r="K21" s="17">
        <f t="shared" si="0"/>
        <v>0</v>
      </c>
      <c r="L21" s="17">
        <f t="shared" si="0"/>
        <v>0</v>
      </c>
      <c r="M21" s="17">
        <f t="shared" si="0"/>
        <v>0</v>
      </c>
      <c r="N21" s="17">
        <f t="shared" si="0"/>
        <v>0</v>
      </c>
      <c r="O21" s="17">
        <f t="shared" si="0"/>
        <v>0</v>
      </c>
      <c r="P21" s="17">
        <f t="shared" si="0"/>
        <v>0</v>
      </c>
      <c r="Q21" s="17">
        <f t="shared" si="0"/>
        <v>0</v>
      </c>
      <c r="R21" s="17">
        <f t="shared" si="0"/>
        <v>0</v>
      </c>
      <c r="S21" s="17">
        <f t="shared" si="0"/>
        <v>0</v>
      </c>
      <c r="T21" s="17">
        <f t="shared" si="0"/>
        <v>0</v>
      </c>
      <c r="U21" s="17">
        <f t="shared" si="0"/>
        <v>0</v>
      </c>
      <c r="V21" s="17">
        <f t="shared" si="0"/>
        <v>0</v>
      </c>
      <c r="W21" s="17">
        <f t="shared" si="0"/>
        <v>0</v>
      </c>
      <c r="X21" s="17">
        <f t="shared" si="0"/>
        <v>0</v>
      </c>
      <c r="Y21" s="17">
        <f t="shared" si="0"/>
        <v>0</v>
      </c>
      <c r="Z21" s="17">
        <f t="shared" si="0"/>
        <v>0</v>
      </c>
      <c r="AA21" s="17">
        <f t="shared" si="0"/>
        <v>0</v>
      </c>
      <c r="AB21" s="17">
        <f t="shared" si="0"/>
        <v>0</v>
      </c>
      <c r="AC21" s="17">
        <f t="shared" si="0"/>
        <v>0</v>
      </c>
      <c r="AD21" s="17">
        <f t="shared" si="0"/>
        <v>0</v>
      </c>
      <c r="AE21" s="17">
        <f t="shared" si="0"/>
        <v>0</v>
      </c>
      <c r="AF21" s="17">
        <f t="shared" si="0"/>
        <v>0</v>
      </c>
      <c r="AG21" s="17">
        <f t="shared" si="0"/>
        <v>0</v>
      </c>
      <c r="AH21" s="17">
        <f t="shared" si="0"/>
        <v>0</v>
      </c>
      <c r="AI21" s="17">
        <f t="shared" si="0"/>
        <v>0</v>
      </c>
    </row>
    <row r="22" spans="1:35" x14ac:dyDescent="0.35">
      <c r="A22" s="332" t="s">
        <v>83</v>
      </c>
      <c r="B22" s="332"/>
      <c r="C22" s="332"/>
      <c r="D22" s="332"/>
      <c r="E22" s="114"/>
      <c r="F22" s="114"/>
      <c r="G22" s="24"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8">
        <v>0</v>
      </c>
      <c r="T22" s="28">
        <v>0</v>
      </c>
      <c r="U22" s="28">
        <v>0</v>
      </c>
      <c r="V22" s="28">
        <v>0</v>
      </c>
      <c r="W22" s="28">
        <v>0</v>
      </c>
      <c r="X22" s="28">
        <v>0</v>
      </c>
      <c r="Y22" s="28">
        <v>0</v>
      </c>
      <c r="Z22" s="28">
        <v>0</v>
      </c>
      <c r="AA22" s="28">
        <v>0</v>
      </c>
      <c r="AB22" s="28">
        <v>0</v>
      </c>
      <c r="AC22" s="28">
        <v>0</v>
      </c>
      <c r="AD22" s="28">
        <v>0</v>
      </c>
      <c r="AE22" s="28">
        <v>0</v>
      </c>
      <c r="AF22" s="28">
        <v>0</v>
      </c>
      <c r="AG22" s="28">
        <v>0</v>
      </c>
      <c r="AH22" s="28">
        <v>0</v>
      </c>
      <c r="AI22" s="28">
        <v>0</v>
      </c>
    </row>
    <row r="23" spans="1:35" x14ac:dyDescent="0.35">
      <c r="A23" s="332" t="s">
        <v>84</v>
      </c>
      <c r="B23" s="332"/>
      <c r="C23" s="332"/>
      <c r="D23" s="332"/>
      <c r="E23" s="114"/>
      <c r="F23" s="114"/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  <c r="O23" s="24">
        <v>0</v>
      </c>
      <c r="P23" s="24">
        <v>0</v>
      </c>
      <c r="Q23" s="24">
        <v>0</v>
      </c>
      <c r="R23" s="24">
        <v>0</v>
      </c>
      <c r="S23" s="24">
        <v>0</v>
      </c>
      <c r="T23" s="24">
        <v>0</v>
      </c>
      <c r="U23" s="24">
        <v>0</v>
      </c>
      <c r="V23" s="24">
        <v>0</v>
      </c>
      <c r="W23" s="24">
        <v>0</v>
      </c>
      <c r="X23" s="24">
        <v>0</v>
      </c>
      <c r="Y23" s="24">
        <v>0</v>
      </c>
      <c r="Z23" s="24">
        <v>0</v>
      </c>
      <c r="AA23" s="24">
        <v>0</v>
      </c>
      <c r="AB23" s="24">
        <v>0</v>
      </c>
      <c r="AC23" s="24">
        <v>0</v>
      </c>
      <c r="AD23" s="24">
        <v>0</v>
      </c>
      <c r="AE23" s="24">
        <v>0</v>
      </c>
      <c r="AF23" s="24">
        <v>0</v>
      </c>
      <c r="AG23" s="24">
        <v>0</v>
      </c>
      <c r="AH23" s="24">
        <v>0</v>
      </c>
      <c r="AI23" s="24">
        <v>0</v>
      </c>
    </row>
    <row r="24" spans="1:35" x14ac:dyDescent="0.35">
      <c r="A24" s="113"/>
      <c r="B24" s="113"/>
      <c r="C24" s="113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</row>
    <row r="25" spans="1:35" x14ac:dyDescent="0.35">
      <c r="A25" s="333" t="s">
        <v>85</v>
      </c>
      <c r="B25" s="333"/>
      <c r="C25" s="333"/>
      <c r="D25" s="333"/>
      <c r="E25" s="1"/>
      <c r="F25" s="1"/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  <c r="AE25" s="1">
        <v>0</v>
      </c>
      <c r="AF25" s="1">
        <v>0</v>
      </c>
      <c r="AG25" s="1">
        <v>0</v>
      </c>
      <c r="AH25" s="1">
        <v>0</v>
      </c>
      <c r="AI25" s="1">
        <v>0</v>
      </c>
    </row>
    <row r="26" spans="1:35" x14ac:dyDescent="0.35">
      <c r="A26" s="332" t="s">
        <v>86</v>
      </c>
      <c r="B26" s="332"/>
      <c r="C26" s="332"/>
      <c r="D26" s="332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</row>
    <row r="27" spans="1:35" x14ac:dyDescent="0.35">
      <c r="A27" s="332" t="s">
        <v>87</v>
      </c>
      <c r="B27" s="332"/>
      <c r="C27" s="332"/>
      <c r="D27" s="332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</row>
    <row r="28" spans="1:35" x14ac:dyDescent="0.35">
      <c r="A28" s="115"/>
      <c r="B28" s="115"/>
      <c r="C28" s="115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</row>
    <row r="29" spans="1:35" x14ac:dyDescent="0.35">
      <c r="A29" s="113" t="s">
        <v>88</v>
      </c>
      <c r="B29" s="115"/>
      <c r="C29" s="115"/>
      <c r="D29" s="1"/>
      <c r="E29" s="1"/>
      <c r="F29" s="1"/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  <c r="AG29" s="1">
        <v>0</v>
      </c>
      <c r="AH29" s="1">
        <v>0</v>
      </c>
      <c r="AI29" s="1">
        <v>0</v>
      </c>
    </row>
    <row r="30" spans="1:35" x14ac:dyDescent="0.35">
      <c r="A30" s="113"/>
      <c r="B30" s="113"/>
      <c r="C30" s="113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</row>
    <row r="31" spans="1:35" x14ac:dyDescent="0.35">
      <c r="A31" s="113" t="s">
        <v>89</v>
      </c>
      <c r="B31" s="113"/>
      <c r="C31" s="113"/>
      <c r="D31" s="1"/>
      <c r="E31" s="1"/>
      <c r="F31" s="1"/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0</v>
      </c>
      <c r="AB31" s="1">
        <v>0</v>
      </c>
      <c r="AC31" s="1">
        <v>0</v>
      </c>
      <c r="AD31" s="1">
        <v>0</v>
      </c>
      <c r="AE31" s="1">
        <v>0</v>
      </c>
      <c r="AF31" s="1">
        <v>0</v>
      </c>
      <c r="AG31" s="1">
        <v>0</v>
      </c>
      <c r="AH31" s="1">
        <v>0</v>
      </c>
      <c r="AI31" s="1">
        <v>0</v>
      </c>
    </row>
    <row r="32" spans="1:35" x14ac:dyDescent="0.35">
      <c r="A32" s="116" t="s">
        <v>90</v>
      </c>
      <c r="B32" s="117"/>
      <c r="C32" s="113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</row>
    <row r="33" spans="1:35" x14ac:dyDescent="0.35">
      <c r="A33" s="116" t="s">
        <v>91</v>
      </c>
      <c r="B33" s="118"/>
      <c r="C33" s="115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</row>
    <row r="34" spans="1:35" x14ac:dyDescent="0.35">
      <c r="A34" s="116" t="s">
        <v>92</v>
      </c>
      <c r="B34" s="118"/>
      <c r="C34" s="115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</row>
    <row r="35" spans="1:35" x14ac:dyDescent="0.35">
      <c r="A35" s="113"/>
      <c r="B35" s="113"/>
      <c r="C35" s="113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</row>
    <row r="36" spans="1:35" x14ac:dyDescent="0.35">
      <c r="A36" s="331" t="s">
        <v>140</v>
      </c>
      <c r="B36" s="331"/>
      <c r="C36" s="331"/>
      <c r="D36" s="189"/>
      <c r="E36" s="189"/>
      <c r="F36" s="189"/>
      <c r="G36" s="10">
        <f>G17-G21-G25-G29-G31</f>
        <v>-1819081.48</v>
      </c>
      <c r="H36" s="10">
        <f t="shared" ref="H36:AI36" si="1">H17-H21-H25-H29-H31</f>
        <v>-1843968.3502879958</v>
      </c>
      <c r="I36" s="10">
        <f t="shared" si="1"/>
        <v>-1843968.3850880014</v>
      </c>
      <c r="J36" s="10">
        <f t="shared" si="1"/>
        <v>-1843968.3850880014</v>
      </c>
      <c r="K36" s="10">
        <f t="shared" si="1"/>
        <v>-1843968.3850880014</v>
      </c>
      <c r="L36" s="10">
        <f t="shared" si="1"/>
        <v>-1843968.3850880014</v>
      </c>
      <c r="M36" s="10">
        <f t="shared" si="1"/>
        <v>-1843968.3850880014</v>
      </c>
      <c r="N36" s="10">
        <f t="shared" si="1"/>
        <v>-1843968.3850880014</v>
      </c>
      <c r="O36" s="10">
        <f t="shared" si="1"/>
        <v>-1843968.3850880014</v>
      </c>
      <c r="P36" s="10">
        <f t="shared" si="1"/>
        <v>-1843968.3850880014</v>
      </c>
      <c r="Q36" s="10">
        <f t="shared" si="1"/>
        <v>-1843968.3850880014</v>
      </c>
      <c r="R36" s="10">
        <f t="shared" si="1"/>
        <v>-1843968.3850880014</v>
      </c>
      <c r="S36" s="10">
        <f t="shared" si="1"/>
        <v>-1843968.3850880014</v>
      </c>
      <c r="T36" s="10">
        <f t="shared" si="1"/>
        <v>-1843968.3850880014</v>
      </c>
      <c r="U36" s="10">
        <f t="shared" si="1"/>
        <v>-1843968.3850880014</v>
      </c>
      <c r="V36" s="10">
        <f t="shared" si="1"/>
        <v>-1843968.3850880014</v>
      </c>
      <c r="W36" s="10">
        <f t="shared" si="1"/>
        <v>-1843968.3850880014</v>
      </c>
      <c r="X36" s="10">
        <f t="shared" si="1"/>
        <v>-1843968.3850880014</v>
      </c>
      <c r="Y36" s="10">
        <f t="shared" si="1"/>
        <v>-1843968.3850880014</v>
      </c>
      <c r="Z36" s="10">
        <f t="shared" si="1"/>
        <v>-1843968.3850880014</v>
      </c>
      <c r="AA36" s="10">
        <f t="shared" si="1"/>
        <v>-1843968.3850880014</v>
      </c>
      <c r="AB36" s="10">
        <f t="shared" si="1"/>
        <v>-1843968.3850880014</v>
      </c>
      <c r="AC36" s="10">
        <f t="shared" si="1"/>
        <v>-1843968.3850880014</v>
      </c>
      <c r="AD36" s="10">
        <f t="shared" si="1"/>
        <v>-1843968.3850880014</v>
      </c>
      <c r="AE36" s="10">
        <f t="shared" si="1"/>
        <v>-1843968.3850880014</v>
      </c>
      <c r="AF36" s="10">
        <f t="shared" si="1"/>
        <v>-1843968.3850880014</v>
      </c>
      <c r="AG36" s="10">
        <f t="shared" si="1"/>
        <v>-1843968.3850880014</v>
      </c>
      <c r="AH36" s="10">
        <f t="shared" si="1"/>
        <v>-1843968.3850880014</v>
      </c>
      <c r="AI36" s="10">
        <f t="shared" si="1"/>
        <v>-1843968.3850880014</v>
      </c>
    </row>
    <row r="37" spans="1:35" x14ac:dyDescent="0.35">
      <c r="A37" s="331" t="s">
        <v>141</v>
      </c>
      <c r="B37" s="331"/>
      <c r="C37" s="331"/>
      <c r="D37" s="331"/>
      <c r="E37" s="189"/>
      <c r="F37" s="189"/>
      <c r="G37" s="10">
        <f>G36</f>
        <v>-1819081.48</v>
      </c>
      <c r="H37" s="10">
        <f>G37+H36</f>
        <v>-3663049.8302879957</v>
      </c>
      <c r="I37" s="10">
        <f t="shared" ref="I37" si="2">H37+I36</f>
        <v>-5507018.2153759971</v>
      </c>
      <c r="J37" s="10">
        <f t="shared" ref="J37" si="3">I37+J36</f>
        <v>-7350986.6004639985</v>
      </c>
      <c r="K37" s="10">
        <f t="shared" ref="K37" si="4">J37+K36</f>
        <v>-9194954.9855519999</v>
      </c>
      <c r="L37" s="10">
        <f t="shared" ref="L37" si="5">K37+L36</f>
        <v>-11038923.370640002</v>
      </c>
      <c r="M37" s="10">
        <f t="shared" ref="M37" si="6">L37+M36</f>
        <v>-12882891.755728003</v>
      </c>
      <c r="N37" s="10">
        <f t="shared" ref="N37" si="7">M37+N36</f>
        <v>-14726860.140816003</v>
      </c>
      <c r="O37" s="10">
        <f t="shared" ref="O37" si="8">N37+O36</f>
        <v>-16570828.525904004</v>
      </c>
      <c r="P37" s="10">
        <f t="shared" ref="P37" si="9">O37+P36</f>
        <v>-18414796.910992004</v>
      </c>
      <c r="Q37" s="10">
        <f t="shared" ref="Q37" si="10">P37+Q36</f>
        <v>-20258765.296080004</v>
      </c>
      <c r="R37" s="10">
        <f t="shared" ref="R37" si="11">Q37+R36</f>
        <v>-22102733.681168005</v>
      </c>
      <c r="S37" s="10">
        <f t="shared" ref="S37" si="12">R37+S36</f>
        <v>-23946702.066256005</v>
      </c>
      <c r="T37" s="10">
        <f t="shared" ref="T37" si="13">S37+T36</f>
        <v>-25790670.451344006</v>
      </c>
      <c r="U37" s="10">
        <f t="shared" ref="U37" si="14">T37+U36</f>
        <v>-27634638.836432006</v>
      </c>
      <c r="V37" s="10">
        <f t="shared" ref="V37" si="15">U37+V36</f>
        <v>-29478607.221520007</v>
      </c>
      <c r="W37" s="10">
        <f t="shared" ref="W37" si="16">V37+W36</f>
        <v>-31322575.606608007</v>
      </c>
      <c r="X37" s="10">
        <f t="shared" ref="X37" si="17">W37+X36</f>
        <v>-33166543.991696008</v>
      </c>
      <c r="Y37" s="10">
        <f t="shared" ref="Y37" si="18">X37+Y36</f>
        <v>-35010512.376784012</v>
      </c>
      <c r="Z37" s="10">
        <f t="shared" ref="Z37" si="19">Y37+Z36</f>
        <v>-36854480.761872016</v>
      </c>
      <c r="AA37" s="10">
        <f t="shared" ref="AA37" si="20">Z37+AA36</f>
        <v>-38698449.14696002</v>
      </c>
      <c r="AB37" s="10">
        <f t="shared" ref="AB37" si="21">AA37+AB36</f>
        <v>-40542417.532048024</v>
      </c>
      <c r="AC37" s="10">
        <f t="shared" ref="AC37" si="22">AB37+AC36</f>
        <v>-42386385.917136028</v>
      </c>
      <c r="AD37" s="10">
        <f t="shared" ref="AD37" si="23">AC37+AD36</f>
        <v>-44230354.302224033</v>
      </c>
      <c r="AE37" s="10">
        <f t="shared" ref="AE37" si="24">AD37+AE36</f>
        <v>-46074322.687312037</v>
      </c>
      <c r="AF37" s="10">
        <f t="shared" ref="AF37" si="25">AE37+AF36</f>
        <v>-47918291.072400041</v>
      </c>
      <c r="AG37" s="10">
        <f t="shared" ref="AG37" si="26">AF37+AG36</f>
        <v>-49762259.457488045</v>
      </c>
      <c r="AH37" s="10">
        <f t="shared" ref="AH37" si="27">AG37+AH36</f>
        <v>-51606227.842576049</v>
      </c>
      <c r="AI37" s="10">
        <f t="shared" ref="AI37" si="28">AH37+AI36</f>
        <v>-53450196.227664053</v>
      </c>
    </row>
    <row r="38" spans="1:35" ht="15" thickBot="1" x14ac:dyDescent="0.4">
      <c r="A38" s="113"/>
      <c r="B38" s="113"/>
      <c r="C38" s="113"/>
      <c r="D38" s="1"/>
      <c r="E38" s="1"/>
      <c r="F38" s="1"/>
      <c r="G38" s="1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</row>
    <row r="39" spans="1:35" ht="18" x14ac:dyDescent="0.4">
      <c r="A39" s="342" t="s">
        <v>136</v>
      </c>
      <c r="B39" s="343"/>
      <c r="C39" s="344" t="s">
        <v>142</v>
      </c>
      <c r="D39" s="345"/>
      <c r="E39" s="130"/>
      <c r="F39" s="197"/>
      <c r="G39" s="130"/>
      <c r="H39" s="101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130"/>
      <c r="AC39" s="130"/>
      <c r="AD39" s="130"/>
      <c r="AE39" s="130"/>
      <c r="AF39" s="130"/>
      <c r="AG39" s="130"/>
      <c r="AH39" s="130"/>
      <c r="AI39" s="130"/>
    </row>
    <row r="40" spans="1:35" ht="18" x14ac:dyDescent="0.4">
      <c r="A40" s="334"/>
      <c r="B40" s="335"/>
      <c r="C40" s="336"/>
      <c r="D40" s="337"/>
      <c r="E40" s="130"/>
      <c r="F40" s="198"/>
      <c r="G40" s="198"/>
      <c r="H40" s="156"/>
      <c r="I40" s="130"/>
      <c r="J40" s="129"/>
      <c r="K40" s="198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30"/>
      <c r="AA40" s="130"/>
      <c r="AB40" s="130"/>
      <c r="AC40" s="130"/>
      <c r="AD40" s="130"/>
      <c r="AE40" s="130"/>
      <c r="AF40" s="130"/>
      <c r="AG40" s="130"/>
      <c r="AH40" s="130"/>
      <c r="AI40" s="130"/>
    </row>
    <row r="41" spans="1:35" ht="18" x14ac:dyDescent="0.4">
      <c r="A41" s="334" t="s">
        <v>96</v>
      </c>
      <c r="B41" s="335"/>
      <c r="C41" s="336" t="s">
        <v>142</v>
      </c>
      <c r="D41" s="337"/>
      <c r="E41" s="130"/>
      <c r="F41" s="130"/>
      <c r="G41" s="130"/>
      <c r="H41" s="130"/>
      <c r="I41" s="203"/>
      <c r="J41" s="204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130"/>
      <c r="AD41" s="130"/>
      <c r="AE41" s="130"/>
      <c r="AF41" s="130"/>
      <c r="AG41" s="130"/>
      <c r="AH41" s="130"/>
      <c r="AI41" s="130"/>
    </row>
    <row r="42" spans="1:35" s="131" customFormat="1" ht="18.5" customHeight="1" x14ac:dyDescent="0.45">
      <c r="A42" s="334"/>
      <c r="B42" s="335"/>
      <c r="C42" s="336"/>
      <c r="D42" s="337"/>
      <c r="E42" s="130"/>
      <c r="F42" s="130"/>
      <c r="G42" s="130"/>
      <c r="H42" s="130"/>
      <c r="I42" s="130"/>
      <c r="J42" s="129"/>
      <c r="K42" s="130"/>
      <c r="L42" s="130"/>
      <c r="M42" s="130"/>
      <c r="N42" s="130"/>
      <c r="O42" s="130"/>
      <c r="P42" s="130"/>
      <c r="Q42" s="130"/>
      <c r="R42" s="130"/>
      <c r="S42" s="130"/>
      <c r="T42" s="130"/>
      <c r="U42" s="130"/>
      <c r="V42" s="130"/>
      <c r="W42" s="130"/>
      <c r="X42" s="130"/>
      <c r="Y42" s="130"/>
      <c r="Z42" s="130"/>
      <c r="AA42" s="130"/>
      <c r="AB42" s="130"/>
      <c r="AC42" s="130"/>
      <c r="AD42" s="130"/>
      <c r="AE42" s="130"/>
      <c r="AF42" s="130"/>
      <c r="AG42" s="130"/>
      <c r="AH42" s="130"/>
      <c r="AI42" s="130"/>
    </row>
    <row r="43" spans="1:35" s="131" customFormat="1" ht="18.5" x14ac:dyDescent="0.45">
      <c r="A43" s="334" t="s">
        <v>137</v>
      </c>
      <c r="B43" s="335"/>
      <c r="C43" s="336" t="s">
        <v>142</v>
      </c>
      <c r="D43" s="337"/>
      <c r="E43" s="130"/>
      <c r="F43" s="130"/>
      <c r="G43" s="130"/>
      <c r="H43" s="130"/>
      <c r="I43" s="130"/>
      <c r="J43" s="129"/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0"/>
      <c r="W43" s="130"/>
      <c r="X43" s="130"/>
      <c r="Y43" s="130"/>
      <c r="Z43" s="130"/>
      <c r="AA43" s="130"/>
      <c r="AB43" s="130"/>
      <c r="AC43" s="130"/>
      <c r="AD43" s="130"/>
      <c r="AE43" s="130"/>
      <c r="AF43" s="130"/>
      <c r="AG43" s="130"/>
      <c r="AH43" s="130"/>
      <c r="AI43" s="130"/>
    </row>
    <row r="44" spans="1:35" s="131" customFormat="1" ht="19" thickBot="1" x14ac:dyDescent="0.5">
      <c r="A44" s="338"/>
      <c r="B44" s="339"/>
      <c r="C44" s="340"/>
      <c r="D44" s="341"/>
      <c r="E44" s="130"/>
      <c r="F44" s="130"/>
      <c r="G44" s="130"/>
      <c r="H44" s="130"/>
      <c r="I44" s="130"/>
      <c r="J44" s="129"/>
      <c r="K44" s="130"/>
      <c r="L44" s="130"/>
      <c r="M44" s="130"/>
      <c r="N44" s="130"/>
      <c r="O44" s="130"/>
      <c r="P44" s="130"/>
      <c r="Q44" s="130"/>
      <c r="R44" s="130"/>
      <c r="S44" s="130"/>
      <c r="T44" s="130"/>
      <c r="U44" s="130"/>
      <c r="V44" s="130"/>
      <c r="W44" s="130"/>
      <c r="X44" s="130"/>
      <c r="Y44" s="130"/>
      <c r="Z44" s="130"/>
      <c r="AA44" s="130"/>
      <c r="AB44" s="130"/>
      <c r="AC44" s="130"/>
      <c r="AD44" s="130"/>
      <c r="AE44" s="130"/>
      <c r="AF44" s="130"/>
      <c r="AG44" s="130"/>
      <c r="AH44" s="130"/>
      <c r="AI44" s="130"/>
    </row>
    <row r="45" spans="1:35" s="131" customFormat="1" ht="18.5" x14ac:dyDescent="0.45">
      <c r="A45" s="1"/>
      <c r="B45" s="1"/>
      <c r="C45" s="1"/>
      <c r="D45" s="1"/>
      <c r="E45" s="1"/>
      <c r="F45" s="1"/>
      <c r="G45" s="1"/>
      <c r="H45" s="1"/>
      <c r="I45" s="1"/>
      <c r="J45" s="17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</row>
    <row r="46" spans="1:35" s="131" customFormat="1" ht="19" thickBot="1" x14ac:dyDescent="0.5">
      <c r="A46" s="188"/>
      <c r="B46" s="188"/>
      <c r="C46" s="188"/>
      <c r="D46" s="188"/>
      <c r="E46" s="188"/>
      <c r="F46" s="188"/>
      <c r="G46" s="188"/>
      <c r="H46" s="188"/>
      <c r="I46" s="188"/>
      <c r="J46" s="188"/>
      <c r="K46" s="188"/>
      <c r="L46" s="188"/>
      <c r="M46" s="188"/>
      <c r="N46" s="188"/>
      <c r="O46" s="188"/>
      <c r="P46" s="188"/>
      <c r="Q46" s="188"/>
      <c r="R46" s="188"/>
      <c r="S46" s="188"/>
      <c r="T46" s="188"/>
      <c r="U46" s="188"/>
      <c r="V46" s="188"/>
      <c r="W46" s="188"/>
      <c r="X46" s="188"/>
      <c r="Y46" s="188"/>
      <c r="Z46" s="188"/>
      <c r="AA46" s="188"/>
      <c r="AB46" s="188"/>
      <c r="AC46" s="188"/>
      <c r="AD46" s="188"/>
      <c r="AE46" s="188"/>
      <c r="AF46" s="188"/>
      <c r="AG46" s="188"/>
      <c r="AH46" s="188"/>
      <c r="AI46" s="188"/>
    </row>
    <row r="47" spans="1:35" ht="29" customHeight="1" thickTop="1" x14ac:dyDescent="0.35">
      <c r="A47" s="308" t="s">
        <v>138</v>
      </c>
      <c r="B47" s="308"/>
      <c r="C47" s="308"/>
      <c r="D47" s="308"/>
      <c r="E47" s="308"/>
      <c r="F47" s="90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</row>
    <row r="48" spans="1:35" s="2" customFormat="1" ht="11.5" customHeight="1" x14ac:dyDescent="0.35">
      <c r="A48" s="133"/>
      <c r="B48" s="133"/>
      <c r="C48" s="133"/>
      <c r="D48" s="133"/>
      <c r="E48" s="133"/>
      <c r="F48" s="13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</row>
    <row r="49" spans="1:35" x14ac:dyDescent="0.35">
      <c r="A49" s="95" t="s">
        <v>74</v>
      </c>
      <c r="B49" s="96"/>
      <c r="C49" s="97"/>
      <c r="D49" s="98"/>
      <c r="E49" s="35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</row>
    <row r="50" spans="1:35" x14ac:dyDescent="0.35">
      <c r="A50" s="99" t="s">
        <v>75</v>
      </c>
      <c r="B50" s="100"/>
      <c r="C50" s="101">
        <v>-10580000</v>
      </c>
      <c r="D50" s="102" t="s">
        <v>76</v>
      </c>
      <c r="E50" s="35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</row>
    <row r="51" spans="1:35" x14ac:dyDescent="0.35">
      <c r="A51" s="309" t="s">
        <v>77</v>
      </c>
      <c r="B51" s="282"/>
      <c r="C51" s="105">
        <v>0</v>
      </c>
      <c r="D51" s="106" t="s">
        <v>76</v>
      </c>
      <c r="E51" s="35"/>
      <c r="F51" s="1"/>
      <c r="G51" s="49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</row>
    <row r="52" spans="1:35" x14ac:dyDescent="0.35">
      <c r="A52" s="309" t="s">
        <v>78</v>
      </c>
      <c r="B52" s="282"/>
      <c r="C52" s="105">
        <v>10580000</v>
      </c>
      <c r="D52" s="106" t="s">
        <v>76</v>
      </c>
      <c r="E52" s="35"/>
      <c r="F52" s="1"/>
      <c r="G52" s="1"/>
      <c r="H52" s="202"/>
      <c r="I52" s="202"/>
      <c r="J52" s="202"/>
      <c r="K52" s="202"/>
      <c r="L52" s="202"/>
      <c r="M52" s="202"/>
      <c r="N52" s="202"/>
      <c r="O52" s="202"/>
      <c r="P52" s="202"/>
      <c r="Q52" s="202"/>
      <c r="R52" s="202"/>
      <c r="S52" s="202"/>
      <c r="T52" s="202"/>
      <c r="U52" s="202"/>
      <c r="V52" s="202"/>
      <c r="W52" s="202"/>
      <c r="X52" s="202"/>
      <c r="Y52" s="202"/>
      <c r="Z52" s="202"/>
      <c r="AA52" s="202"/>
      <c r="AB52" s="202"/>
      <c r="AC52" s="202"/>
      <c r="AD52" s="202"/>
      <c r="AE52" s="202"/>
      <c r="AF52" s="202"/>
      <c r="AG52" s="202"/>
      <c r="AH52" s="202"/>
      <c r="AI52" s="202"/>
    </row>
    <row r="53" spans="1:35" x14ac:dyDescent="0.35">
      <c r="A53" s="107"/>
      <c r="B53" s="108"/>
      <c r="C53" s="100"/>
      <c r="D53" s="102"/>
      <c r="E53" s="35"/>
      <c r="F53" s="1"/>
      <c r="G53" s="1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</row>
    <row r="54" spans="1:35" x14ac:dyDescent="0.35">
      <c r="A54" s="310" t="s">
        <v>79</v>
      </c>
      <c r="B54" s="311"/>
      <c r="C54" s="109">
        <v>0.04</v>
      </c>
      <c r="D54" s="110"/>
      <c r="E54" s="35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</row>
    <row r="55" spans="1:35" x14ac:dyDescent="0.35">
      <c r="A55" s="100"/>
      <c r="B55" s="100"/>
      <c r="C55" s="132"/>
      <c r="D55" s="100"/>
      <c r="E55" s="89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</row>
    <row r="56" spans="1:35" x14ac:dyDescent="0.35">
      <c r="A56" s="5"/>
      <c r="B56" s="5"/>
      <c r="C56" s="5"/>
      <c r="D56" s="5"/>
      <c r="E56" s="5"/>
      <c r="F56" s="193"/>
      <c r="G56" s="194">
        <v>2022</v>
      </c>
      <c r="H56" s="194">
        <v>2023</v>
      </c>
      <c r="I56" s="194">
        <v>2024</v>
      </c>
      <c r="J56" s="194">
        <v>2025</v>
      </c>
      <c r="K56" s="194">
        <v>2026</v>
      </c>
      <c r="L56" s="194">
        <v>2027</v>
      </c>
      <c r="M56" s="194">
        <v>2028</v>
      </c>
      <c r="N56" s="194">
        <v>2029</v>
      </c>
      <c r="O56" s="194">
        <v>2030</v>
      </c>
      <c r="P56" s="194">
        <v>2031</v>
      </c>
      <c r="Q56" s="194">
        <v>2032</v>
      </c>
      <c r="R56" s="194">
        <v>2033</v>
      </c>
      <c r="S56" s="194">
        <v>2034</v>
      </c>
      <c r="T56" s="194">
        <v>2035</v>
      </c>
      <c r="U56" s="194">
        <v>2036</v>
      </c>
      <c r="V56" s="194">
        <v>2037</v>
      </c>
      <c r="W56" s="194">
        <v>2038</v>
      </c>
      <c r="X56" s="194">
        <v>2039</v>
      </c>
      <c r="Y56" s="194">
        <v>2040</v>
      </c>
      <c r="Z56" s="194">
        <v>2041</v>
      </c>
      <c r="AA56" s="194">
        <v>2042</v>
      </c>
      <c r="AB56" s="194">
        <v>2043</v>
      </c>
      <c r="AC56" s="194">
        <v>2044</v>
      </c>
      <c r="AD56" s="194">
        <v>2045</v>
      </c>
      <c r="AE56" s="194">
        <v>2046</v>
      </c>
      <c r="AF56" s="194">
        <v>2047</v>
      </c>
      <c r="AG56" s="194">
        <v>2048</v>
      </c>
      <c r="AH56" s="194">
        <v>2049</v>
      </c>
      <c r="AI56" s="194">
        <v>2050</v>
      </c>
    </row>
    <row r="57" spans="1:35" s="195" customFormat="1" x14ac:dyDescent="0.35">
      <c r="A57" s="328" t="s">
        <v>144</v>
      </c>
      <c r="B57" s="328"/>
      <c r="C57" s="9"/>
      <c r="D57" s="9"/>
      <c r="E57" s="9"/>
      <c r="F57" s="9"/>
      <c r="G57" s="192">
        <f>'Base Case'!L59-'Base Case'!L50</f>
        <v>-1819081.48</v>
      </c>
      <c r="H57" s="192">
        <f>'Base Case'!M59-'Base Case'!M50</f>
        <v>-1647081.2602879959</v>
      </c>
      <c r="I57" s="192">
        <f>'Base Case'!N59-'Base Case'!N50</f>
        <v>-2935889.009889761</v>
      </c>
      <c r="J57" s="192">
        <f>'Base Case'!O59-'Base Case'!O50</f>
        <v>-3219245.7166505558</v>
      </c>
      <c r="K57" s="192">
        <f>'Base Case'!P59-'Base Case'!P50</f>
        <v>-4446519.4583831709</v>
      </c>
      <c r="L57" s="192">
        <f>'Base Case'!Q59-'Base Case'!Q50</f>
        <v>-4132797.4583831714</v>
      </c>
      <c r="M57" s="192">
        <f>'Base Case'!R59-'Base Case'!R50</f>
        <v>-4132797.4583831714</v>
      </c>
      <c r="N57" s="192">
        <f>'Base Case'!S59-'Base Case'!S50</f>
        <v>-4132797.4583831714</v>
      </c>
      <c r="O57" s="192">
        <f>'Base Case'!T59-'Base Case'!T50</f>
        <v>-4132797.4583831714</v>
      </c>
      <c r="P57" s="192">
        <f>'Base Case'!U59-'Base Case'!U50</f>
        <v>-4132797.4583831714</v>
      </c>
      <c r="Q57" s="192">
        <f>'Base Case'!V59-'Base Case'!V50</f>
        <v>-4132797.4583831714</v>
      </c>
      <c r="R57" s="192">
        <f>'Base Case'!W59-'Base Case'!W50</f>
        <v>-4132797.4583831714</v>
      </c>
      <c r="S57" s="192">
        <f>'Base Case'!X59-'Base Case'!X50</f>
        <v>-4132797.4583831714</v>
      </c>
      <c r="T57" s="192">
        <f>'Base Case'!Y59-'Base Case'!Y50</f>
        <v>-4132797.4583831714</v>
      </c>
      <c r="U57" s="192">
        <f>'Base Case'!Z59-'Base Case'!Z50</f>
        <v>-4132797.4583831714</v>
      </c>
      <c r="V57" s="192">
        <f>'Base Case'!AA59-'Base Case'!AA50</f>
        <v>-4132797.4583831714</v>
      </c>
      <c r="W57" s="192">
        <f>'Base Case'!AB59-'Base Case'!AB50</f>
        <v>-4132797.4583831714</v>
      </c>
      <c r="X57" s="192">
        <f>'Base Case'!AC59-'Base Case'!AC50</f>
        <v>-4132797.4583831714</v>
      </c>
      <c r="Y57" s="192">
        <f>'Base Case'!AD59-'Base Case'!AD50</f>
        <v>-4132797.4583831714</v>
      </c>
      <c r="Z57" s="192">
        <f>'Base Case'!AE59-'Base Case'!AE50</f>
        <v>-4132797.4583831714</v>
      </c>
      <c r="AA57" s="192">
        <f>'Base Case'!AF59-'Base Case'!AF50</f>
        <v>-4132797.4583831714</v>
      </c>
      <c r="AB57" s="192">
        <f>'Base Case'!AG59-'Base Case'!AG50</f>
        <v>-4132797.4583831714</v>
      </c>
      <c r="AC57" s="192">
        <f>'Base Case'!AH59-'Base Case'!AH50</f>
        <v>-4132797.4583831714</v>
      </c>
      <c r="AD57" s="192">
        <f>'Base Case'!AI59-'Base Case'!AI50</f>
        <v>-4132797.4583831714</v>
      </c>
      <c r="AE57" s="192">
        <f>'Base Case'!AJ59-'Base Case'!AJ50</f>
        <v>-4132797.4583831714</v>
      </c>
      <c r="AF57" s="192">
        <f>'Base Case'!AK59-'Base Case'!AK50</f>
        <v>-4132797.4583831714</v>
      </c>
      <c r="AG57" s="192">
        <f>'Base Case'!AL59-'Base Case'!AL50</f>
        <v>-4132797.4583831714</v>
      </c>
      <c r="AH57" s="192">
        <f>'Base Case'!AM59-'Base Case'!AM50</f>
        <v>-4132797.4583831714</v>
      </c>
      <c r="AI57" s="192">
        <f>'Base Case'!AN59-'Base Case'!AN50</f>
        <v>-4132797.4583831714</v>
      </c>
    </row>
    <row r="58" spans="1:35" x14ac:dyDescent="0.35">
      <c r="A58" s="1"/>
      <c r="B58" s="1"/>
      <c r="C58" s="1"/>
      <c r="D58" s="1"/>
      <c r="E58" s="1"/>
      <c r="F58" s="1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</row>
    <row r="59" spans="1:35" x14ac:dyDescent="0.35">
      <c r="A59" s="333" t="s">
        <v>81</v>
      </c>
      <c r="B59" s="333"/>
      <c r="C59" s="333"/>
      <c r="D59" s="333"/>
      <c r="E59" s="333"/>
      <c r="F59" s="112"/>
      <c r="G59" s="17">
        <f>'Status quo'!L51</f>
        <v>993903</v>
      </c>
      <c r="H59" s="17">
        <f>'Status quo'!M51</f>
        <v>1003842.03</v>
      </c>
      <c r="I59" s="17">
        <f>'Status quo'!N51</f>
        <v>1003842.03</v>
      </c>
      <c r="J59" s="17">
        <f>'Status quo'!O51</f>
        <v>1003842.03</v>
      </c>
      <c r="K59" s="17">
        <f>'Status quo'!P51</f>
        <v>1003842.03</v>
      </c>
      <c r="L59" s="17">
        <f>'Status quo'!Q51</f>
        <v>1003842.03</v>
      </c>
      <c r="M59" s="17">
        <f>'Status quo'!R51</f>
        <v>1003842.03</v>
      </c>
      <c r="N59" s="17">
        <f>'Status quo'!S51</f>
        <v>1003842.03</v>
      </c>
      <c r="O59" s="17">
        <f>'Status quo'!T51</f>
        <v>1003842.03</v>
      </c>
      <c r="P59" s="17">
        <f>'Status quo'!U51</f>
        <v>1003842.03</v>
      </c>
      <c r="Q59" s="17">
        <f>'Status quo'!V51</f>
        <v>1003842.03</v>
      </c>
      <c r="R59" s="17">
        <f>'Status quo'!W51</f>
        <v>1003842.03</v>
      </c>
      <c r="S59" s="17">
        <f>'Status quo'!X51</f>
        <v>1003842.03</v>
      </c>
      <c r="T59" s="17">
        <f>'Status quo'!Y51</f>
        <v>1003842.03</v>
      </c>
      <c r="U59" s="17">
        <f>'Status quo'!Z51</f>
        <v>1003842.03</v>
      </c>
      <c r="V59" s="17">
        <f>'Status quo'!AA51</f>
        <v>1003842.03</v>
      </c>
      <c r="W59" s="17">
        <f>'Status quo'!AB51</f>
        <v>1003842.03</v>
      </c>
      <c r="X59" s="17">
        <f>'Status quo'!AC51</f>
        <v>1003842.03</v>
      </c>
      <c r="Y59" s="17">
        <f>'Status quo'!AD51</f>
        <v>1003842.03</v>
      </c>
      <c r="Z59" s="17">
        <f>'Status quo'!AE51</f>
        <v>1003842.03</v>
      </c>
      <c r="AA59" s="17">
        <f>'Status quo'!AF51</f>
        <v>1003842.03</v>
      </c>
      <c r="AB59" s="17">
        <f>'Status quo'!AG51</f>
        <v>1003842.03</v>
      </c>
      <c r="AC59" s="17">
        <f>'Status quo'!AH51</f>
        <v>1003842.03</v>
      </c>
      <c r="AD59" s="17">
        <f>'Status quo'!AI51</f>
        <v>1003842.03</v>
      </c>
      <c r="AE59" s="17">
        <f>'Status quo'!AJ51</f>
        <v>1003842.03</v>
      </c>
      <c r="AF59" s="17">
        <f>'Status quo'!AK51</f>
        <v>1003842.03</v>
      </c>
      <c r="AG59" s="17">
        <f>'Status quo'!AL51</f>
        <v>1003842.03</v>
      </c>
      <c r="AH59" s="17">
        <f>'Status quo'!AM51</f>
        <v>1003842.03</v>
      </c>
      <c r="AI59" s="17">
        <f>'Status quo'!AN51</f>
        <v>1003842.03</v>
      </c>
    </row>
    <row r="60" spans="1:35" x14ac:dyDescent="0.35">
      <c r="A60" s="113"/>
      <c r="B60" s="113"/>
      <c r="C60" s="113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</row>
    <row r="61" spans="1:35" x14ac:dyDescent="0.35">
      <c r="A61" s="333" t="s">
        <v>82</v>
      </c>
      <c r="B61" s="333"/>
      <c r="C61" s="333"/>
      <c r="D61" s="1"/>
      <c r="E61" s="1"/>
      <c r="F61" s="1"/>
      <c r="G61" s="1">
        <v>0</v>
      </c>
      <c r="H61" s="17">
        <f>H62</f>
        <v>7980000</v>
      </c>
      <c r="I61" s="17">
        <f t="shared" ref="I61:AI61" si="29">I62</f>
        <v>480000</v>
      </c>
      <c r="J61" s="17">
        <f t="shared" si="29"/>
        <v>3280000</v>
      </c>
      <c r="K61" s="17">
        <f t="shared" si="29"/>
        <v>480000</v>
      </c>
      <c r="L61" s="17">
        <f t="shared" si="29"/>
        <v>0</v>
      </c>
      <c r="M61" s="17">
        <f t="shared" si="29"/>
        <v>0</v>
      </c>
      <c r="N61" s="17">
        <f t="shared" si="29"/>
        <v>0</v>
      </c>
      <c r="O61" s="17">
        <f t="shared" si="29"/>
        <v>0</v>
      </c>
      <c r="P61" s="17">
        <f t="shared" si="29"/>
        <v>0</v>
      </c>
      <c r="Q61" s="17">
        <f t="shared" si="29"/>
        <v>0</v>
      </c>
      <c r="R61" s="17">
        <f t="shared" si="29"/>
        <v>0</v>
      </c>
      <c r="S61" s="17">
        <f t="shared" si="29"/>
        <v>0</v>
      </c>
      <c r="T61" s="17">
        <f t="shared" si="29"/>
        <v>0</v>
      </c>
      <c r="U61" s="17">
        <f t="shared" si="29"/>
        <v>0</v>
      </c>
      <c r="V61" s="17">
        <f t="shared" si="29"/>
        <v>0</v>
      </c>
      <c r="W61" s="17">
        <f t="shared" si="29"/>
        <v>0</v>
      </c>
      <c r="X61" s="17">
        <f t="shared" si="29"/>
        <v>0</v>
      </c>
      <c r="Y61" s="17">
        <f t="shared" si="29"/>
        <v>0</v>
      </c>
      <c r="Z61" s="17">
        <f t="shared" si="29"/>
        <v>0</v>
      </c>
      <c r="AA61" s="17">
        <f t="shared" si="29"/>
        <v>0</v>
      </c>
      <c r="AB61" s="17">
        <f t="shared" si="29"/>
        <v>0</v>
      </c>
      <c r="AC61" s="17">
        <f t="shared" si="29"/>
        <v>0</v>
      </c>
      <c r="AD61" s="17">
        <f t="shared" si="29"/>
        <v>0</v>
      </c>
      <c r="AE61" s="17">
        <f t="shared" si="29"/>
        <v>0</v>
      </c>
      <c r="AF61" s="17">
        <f t="shared" si="29"/>
        <v>0</v>
      </c>
      <c r="AG61" s="17">
        <f t="shared" si="29"/>
        <v>0</v>
      </c>
      <c r="AH61" s="17">
        <f t="shared" si="29"/>
        <v>0</v>
      </c>
      <c r="AI61" s="17">
        <f t="shared" si="29"/>
        <v>0</v>
      </c>
    </row>
    <row r="62" spans="1:35" x14ac:dyDescent="0.35">
      <c r="A62" s="332" t="s">
        <v>83</v>
      </c>
      <c r="B62" s="332"/>
      <c r="C62" s="332"/>
      <c r="D62" s="332"/>
      <c r="E62" s="114"/>
      <c r="F62" s="114"/>
      <c r="G62" s="24">
        <v>0</v>
      </c>
      <c r="H62" s="28">
        <v>7980000</v>
      </c>
      <c r="I62" s="28">
        <v>480000</v>
      </c>
      <c r="J62" s="28">
        <v>3280000</v>
      </c>
      <c r="K62" s="28">
        <v>480000</v>
      </c>
      <c r="L62" s="28">
        <v>0</v>
      </c>
      <c r="M62" s="28">
        <v>0</v>
      </c>
      <c r="N62" s="28">
        <v>0</v>
      </c>
      <c r="O62" s="28">
        <v>0</v>
      </c>
      <c r="P62" s="28">
        <v>0</v>
      </c>
      <c r="Q62" s="28">
        <v>0</v>
      </c>
      <c r="R62" s="28">
        <v>0</v>
      </c>
      <c r="S62" s="28">
        <v>0</v>
      </c>
      <c r="T62" s="28">
        <v>0</v>
      </c>
      <c r="U62" s="28">
        <v>0</v>
      </c>
      <c r="V62" s="28">
        <v>0</v>
      </c>
      <c r="W62" s="28">
        <v>0</v>
      </c>
      <c r="X62" s="28">
        <v>0</v>
      </c>
      <c r="Y62" s="28">
        <v>0</v>
      </c>
      <c r="Z62" s="28">
        <v>0</v>
      </c>
      <c r="AA62" s="28">
        <v>0</v>
      </c>
      <c r="AB62" s="28">
        <v>0</v>
      </c>
      <c r="AC62" s="28">
        <v>0</v>
      </c>
      <c r="AD62" s="28">
        <v>0</v>
      </c>
      <c r="AE62" s="28">
        <v>0</v>
      </c>
      <c r="AF62" s="28">
        <v>0</v>
      </c>
      <c r="AG62" s="28">
        <v>0</v>
      </c>
      <c r="AH62" s="28">
        <v>0</v>
      </c>
      <c r="AI62" s="28">
        <v>0</v>
      </c>
    </row>
    <row r="63" spans="1:35" x14ac:dyDescent="0.35">
      <c r="A63" s="332" t="s">
        <v>84</v>
      </c>
      <c r="B63" s="332"/>
      <c r="C63" s="332"/>
      <c r="D63" s="332"/>
      <c r="E63" s="114"/>
      <c r="F63" s="114"/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0</v>
      </c>
      <c r="O63" s="24">
        <v>0</v>
      </c>
      <c r="P63" s="24">
        <v>0</v>
      </c>
      <c r="Q63" s="24">
        <v>0</v>
      </c>
      <c r="R63" s="24">
        <v>0</v>
      </c>
      <c r="S63" s="24">
        <v>0</v>
      </c>
      <c r="T63" s="24">
        <v>0</v>
      </c>
      <c r="U63" s="24">
        <v>0</v>
      </c>
      <c r="V63" s="24">
        <v>0</v>
      </c>
      <c r="W63" s="24">
        <v>0</v>
      </c>
      <c r="X63" s="24">
        <v>0</v>
      </c>
      <c r="Y63" s="24">
        <v>0</v>
      </c>
      <c r="Z63" s="24">
        <v>0</v>
      </c>
      <c r="AA63" s="24">
        <v>0</v>
      </c>
      <c r="AB63" s="24">
        <v>0</v>
      </c>
      <c r="AC63" s="24">
        <v>0</v>
      </c>
      <c r="AD63" s="24">
        <v>0</v>
      </c>
      <c r="AE63" s="24">
        <v>0</v>
      </c>
      <c r="AF63" s="24">
        <v>0</v>
      </c>
      <c r="AG63" s="24">
        <v>0</v>
      </c>
      <c r="AH63" s="24">
        <v>0</v>
      </c>
      <c r="AI63" s="24">
        <v>0</v>
      </c>
    </row>
    <row r="64" spans="1:35" x14ac:dyDescent="0.35">
      <c r="A64" s="113"/>
      <c r="B64" s="113"/>
      <c r="C64" s="113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</row>
    <row r="65" spans="1:42" x14ac:dyDescent="0.35">
      <c r="A65" s="333" t="s">
        <v>85</v>
      </c>
      <c r="B65" s="333"/>
      <c r="C65" s="333"/>
      <c r="D65" s="333"/>
      <c r="E65" s="1"/>
      <c r="F65" s="1"/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>
        <v>0</v>
      </c>
      <c r="T65" s="1">
        <v>0</v>
      </c>
      <c r="U65" s="1">
        <v>0</v>
      </c>
      <c r="V65" s="1">
        <v>0</v>
      </c>
      <c r="W65" s="1">
        <v>0</v>
      </c>
      <c r="X65" s="1">
        <v>0</v>
      </c>
      <c r="Y65" s="1">
        <v>0</v>
      </c>
      <c r="Z65" s="1">
        <v>0</v>
      </c>
      <c r="AA65" s="1">
        <v>0</v>
      </c>
      <c r="AB65" s="1">
        <v>0</v>
      </c>
      <c r="AC65" s="1">
        <v>0</v>
      </c>
      <c r="AD65" s="1">
        <v>0</v>
      </c>
      <c r="AE65" s="1">
        <v>0</v>
      </c>
      <c r="AF65" s="1">
        <v>0</v>
      </c>
      <c r="AG65" s="1">
        <v>0</v>
      </c>
      <c r="AH65" s="1">
        <v>0</v>
      </c>
      <c r="AI65" s="1">
        <v>0</v>
      </c>
    </row>
    <row r="66" spans="1:42" x14ac:dyDescent="0.35">
      <c r="A66" s="332" t="s">
        <v>86</v>
      </c>
      <c r="B66" s="332"/>
      <c r="C66" s="332"/>
      <c r="D66" s="332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</row>
    <row r="67" spans="1:42" x14ac:dyDescent="0.35">
      <c r="A67" s="332" t="s">
        <v>87</v>
      </c>
      <c r="B67" s="332"/>
      <c r="C67" s="332"/>
      <c r="D67" s="332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</row>
    <row r="68" spans="1:42" x14ac:dyDescent="0.35">
      <c r="A68" s="115"/>
      <c r="B68" s="115"/>
      <c r="C68" s="115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</row>
    <row r="69" spans="1:42" x14ac:dyDescent="0.35">
      <c r="A69" s="113" t="s">
        <v>88</v>
      </c>
      <c r="B69" s="115"/>
      <c r="C69" s="115"/>
      <c r="D69" s="1"/>
      <c r="E69" s="1"/>
      <c r="F69" s="1"/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1">
        <v>0</v>
      </c>
      <c r="T69" s="1">
        <v>0</v>
      </c>
      <c r="U69" s="1">
        <v>0</v>
      </c>
      <c r="V69" s="1">
        <v>0</v>
      </c>
      <c r="W69" s="1">
        <v>0</v>
      </c>
      <c r="X69" s="1">
        <v>0</v>
      </c>
      <c r="Y69" s="1">
        <v>0</v>
      </c>
      <c r="Z69" s="1">
        <v>0</v>
      </c>
      <c r="AA69" s="1">
        <v>0</v>
      </c>
      <c r="AB69" s="1">
        <v>0</v>
      </c>
      <c r="AC69" s="1">
        <v>0</v>
      </c>
      <c r="AD69" s="1">
        <v>0</v>
      </c>
      <c r="AE69" s="1">
        <v>0</v>
      </c>
      <c r="AF69" s="1">
        <v>0</v>
      </c>
      <c r="AG69" s="1">
        <v>0</v>
      </c>
      <c r="AH69" s="1">
        <v>0</v>
      </c>
      <c r="AI69" s="1">
        <v>0</v>
      </c>
    </row>
    <row r="70" spans="1:42" x14ac:dyDescent="0.35">
      <c r="A70" s="113"/>
      <c r="B70" s="113"/>
      <c r="C70" s="113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</row>
    <row r="71" spans="1:42" x14ac:dyDescent="0.35">
      <c r="A71" s="113" t="s">
        <v>89</v>
      </c>
      <c r="B71" s="113"/>
      <c r="C71" s="113"/>
      <c r="D71" s="1"/>
      <c r="E71" s="1"/>
      <c r="F71" s="1"/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0</v>
      </c>
      <c r="T71" s="1">
        <v>0</v>
      </c>
      <c r="U71" s="1">
        <v>0</v>
      </c>
      <c r="V71" s="1">
        <v>0</v>
      </c>
      <c r="W71" s="1">
        <v>0</v>
      </c>
      <c r="X71" s="1">
        <v>0</v>
      </c>
      <c r="Y71" s="1">
        <v>0</v>
      </c>
      <c r="Z71" s="1">
        <v>0</v>
      </c>
      <c r="AA71" s="1">
        <v>0</v>
      </c>
      <c r="AB71" s="1">
        <v>0</v>
      </c>
      <c r="AC71" s="1">
        <v>0</v>
      </c>
      <c r="AD71" s="1">
        <v>0</v>
      </c>
      <c r="AE71" s="1">
        <v>0</v>
      </c>
      <c r="AF71" s="1">
        <v>0</v>
      </c>
      <c r="AG71" s="1">
        <v>0</v>
      </c>
      <c r="AH71" s="1">
        <v>0</v>
      </c>
      <c r="AI71" s="1">
        <v>0</v>
      </c>
    </row>
    <row r="72" spans="1:42" x14ac:dyDescent="0.35">
      <c r="A72" s="116" t="s">
        <v>90</v>
      </c>
      <c r="B72" s="117"/>
      <c r="C72" s="113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</row>
    <row r="73" spans="1:42" x14ac:dyDescent="0.35">
      <c r="A73" s="116" t="s">
        <v>91</v>
      </c>
      <c r="B73" s="118"/>
      <c r="C73" s="115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</row>
    <row r="74" spans="1:42" x14ac:dyDescent="0.35">
      <c r="A74" s="116" t="s">
        <v>92</v>
      </c>
      <c r="B74" s="118"/>
      <c r="C74" s="115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</row>
    <row r="75" spans="1:42" x14ac:dyDescent="0.35">
      <c r="A75" s="113"/>
      <c r="B75" s="113"/>
      <c r="C75" s="113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</row>
    <row r="76" spans="1:42" x14ac:dyDescent="0.35">
      <c r="A76" s="331" t="s">
        <v>93</v>
      </c>
      <c r="B76" s="331"/>
      <c r="C76" s="331"/>
      <c r="D76" s="189"/>
      <c r="E76" s="189"/>
      <c r="F76" s="206">
        <v>-10580000</v>
      </c>
      <c r="G76" s="10">
        <f>G57-G61-G65-G69-G71</f>
        <v>-1819081.48</v>
      </c>
      <c r="H76" s="10">
        <f t="shared" ref="H76:AI76" si="30">H57-H61-H65-H69-H71</f>
        <v>-9627081.2602879964</v>
      </c>
      <c r="I76" s="10">
        <f t="shared" si="30"/>
        <v>-3415889.009889761</v>
      </c>
      <c r="J76" s="10">
        <f t="shared" si="30"/>
        <v>-6499245.7166505558</v>
      </c>
      <c r="K76" s="10">
        <f t="shared" si="30"/>
        <v>-4926519.4583831709</v>
      </c>
      <c r="L76" s="10">
        <f t="shared" si="30"/>
        <v>-4132797.4583831714</v>
      </c>
      <c r="M76" s="10">
        <f t="shared" si="30"/>
        <v>-4132797.4583831714</v>
      </c>
      <c r="N76" s="10">
        <f t="shared" si="30"/>
        <v>-4132797.4583831714</v>
      </c>
      <c r="O76" s="10">
        <f t="shared" si="30"/>
        <v>-4132797.4583831714</v>
      </c>
      <c r="P76" s="10">
        <f t="shared" si="30"/>
        <v>-4132797.4583831714</v>
      </c>
      <c r="Q76" s="10">
        <f t="shared" si="30"/>
        <v>-4132797.4583831714</v>
      </c>
      <c r="R76" s="10">
        <f t="shared" si="30"/>
        <v>-4132797.4583831714</v>
      </c>
      <c r="S76" s="10">
        <f t="shared" si="30"/>
        <v>-4132797.4583831714</v>
      </c>
      <c r="T76" s="10">
        <f t="shared" si="30"/>
        <v>-4132797.4583831714</v>
      </c>
      <c r="U76" s="10">
        <f t="shared" si="30"/>
        <v>-4132797.4583831714</v>
      </c>
      <c r="V76" s="10">
        <f t="shared" si="30"/>
        <v>-4132797.4583831714</v>
      </c>
      <c r="W76" s="10">
        <f t="shared" si="30"/>
        <v>-4132797.4583831714</v>
      </c>
      <c r="X76" s="10">
        <f t="shared" si="30"/>
        <v>-4132797.4583831714</v>
      </c>
      <c r="Y76" s="10">
        <f t="shared" si="30"/>
        <v>-4132797.4583831714</v>
      </c>
      <c r="Z76" s="10">
        <f t="shared" si="30"/>
        <v>-4132797.4583831714</v>
      </c>
      <c r="AA76" s="10">
        <f t="shared" si="30"/>
        <v>-4132797.4583831714</v>
      </c>
      <c r="AB76" s="10">
        <f t="shared" si="30"/>
        <v>-4132797.4583831714</v>
      </c>
      <c r="AC76" s="10">
        <f t="shared" si="30"/>
        <v>-4132797.4583831714</v>
      </c>
      <c r="AD76" s="10">
        <f t="shared" si="30"/>
        <v>-4132797.4583831714</v>
      </c>
      <c r="AE76" s="10">
        <f t="shared" si="30"/>
        <v>-4132797.4583831714</v>
      </c>
      <c r="AF76" s="10">
        <f t="shared" si="30"/>
        <v>-4132797.4583831714</v>
      </c>
      <c r="AG76" s="10">
        <f t="shared" si="30"/>
        <v>-4132797.4583831714</v>
      </c>
      <c r="AH76" s="10">
        <f t="shared" si="30"/>
        <v>-4132797.4583831714</v>
      </c>
      <c r="AI76" s="10">
        <f t="shared" si="30"/>
        <v>-4132797.4583831714</v>
      </c>
      <c r="AJ76" s="205">
        <f t="shared" ref="AJ76:AP76" si="31">AI76*1.02</f>
        <v>-4215453.4075508351</v>
      </c>
      <c r="AK76" s="205">
        <f t="shared" si="31"/>
        <v>-4299762.4757018518</v>
      </c>
      <c r="AL76" s="205">
        <f t="shared" si="31"/>
        <v>-4385757.7252158886</v>
      </c>
      <c r="AM76" s="205">
        <f t="shared" si="31"/>
        <v>-4473472.8797202064</v>
      </c>
      <c r="AN76" s="205">
        <f t="shared" si="31"/>
        <v>-4562942.3373146104</v>
      </c>
      <c r="AO76" s="205">
        <f t="shared" si="31"/>
        <v>-4654201.1840609023</v>
      </c>
      <c r="AP76" s="205">
        <f t="shared" si="31"/>
        <v>-4747285.2077421201</v>
      </c>
    </row>
    <row r="77" spans="1:42" x14ac:dyDescent="0.35">
      <c r="A77" s="331" t="s">
        <v>94</v>
      </c>
      <c r="B77" s="331"/>
      <c r="C77" s="331"/>
      <c r="D77" s="331"/>
      <c r="E77" s="189"/>
      <c r="F77" s="189"/>
      <c r="G77" s="10">
        <f>G76</f>
        <v>-1819081.48</v>
      </c>
      <c r="H77" s="10">
        <f>G77+H76</f>
        <v>-11446162.740287997</v>
      </c>
      <c r="I77" s="10">
        <f t="shared" ref="I77:AI77" si="32">H77+I76</f>
        <v>-14862051.750177758</v>
      </c>
      <c r="J77" s="10">
        <f t="shared" si="32"/>
        <v>-21361297.466828313</v>
      </c>
      <c r="K77" s="10">
        <f t="shared" si="32"/>
        <v>-26287816.925211482</v>
      </c>
      <c r="L77" s="10">
        <f t="shared" si="32"/>
        <v>-30420614.383594655</v>
      </c>
      <c r="M77" s="10">
        <f t="shared" si="32"/>
        <v>-34553411.841977827</v>
      </c>
      <c r="N77" s="10">
        <f t="shared" si="32"/>
        <v>-38686209.300361</v>
      </c>
      <c r="O77" s="10">
        <f t="shared" si="32"/>
        <v>-42819006.758744173</v>
      </c>
      <c r="P77" s="10">
        <f t="shared" si="32"/>
        <v>-46951804.217127346</v>
      </c>
      <c r="Q77" s="10">
        <f t="shared" si="32"/>
        <v>-51084601.675510518</v>
      </c>
      <c r="R77" s="10">
        <f t="shared" si="32"/>
        <v>-55217399.133893691</v>
      </c>
      <c r="S77" s="10">
        <f t="shared" si="32"/>
        <v>-59350196.592276864</v>
      </c>
      <c r="T77" s="10">
        <f t="shared" si="32"/>
        <v>-63482994.050660037</v>
      </c>
      <c r="U77" s="10">
        <f t="shared" si="32"/>
        <v>-67615791.509043202</v>
      </c>
      <c r="V77" s="10">
        <f t="shared" si="32"/>
        <v>-71748588.967426375</v>
      </c>
      <c r="W77" s="10">
        <f t="shared" si="32"/>
        <v>-75881386.425809547</v>
      </c>
      <c r="X77" s="10">
        <f t="shared" si="32"/>
        <v>-80014183.88419272</v>
      </c>
      <c r="Y77" s="10">
        <f t="shared" si="32"/>
        <v>-84146981.342575893</v>
      </c>
      <c r="Z77" s="10">
        <f t="shared" si="32"/>
        <v>-88279778.800959066</v>
      </c>
      <c r="AA77" s="10">
        <f t="shared" si="32"/>
        <v>-92412576.259342238</v>
      </c>
      <c r="AB77" s="10">
        <f t="shared" si="32"/>
        <v>-96545373.717725411</v>
      </c>
      <c r="AC77" s="10">
        <f t="shared" si="32"/>
        <v>-100678171.17610858</v>
      </c>
      <c r="AD77" s="10">
        <f t="shared" si="32"/>
        <v>-104810968.63449176</v>
      </c>
      <c r="AE77" s="10">
        <f t="shared" si="32"/>
        <v>-108943766.09287493</v>
      </c>
      <c r="AF77" s="10">
        <f t="shared" si="32"/>
        <v>-113076563.5512581</v>
      </c>
      <c r="AG77" s="10">
        <f t="shared" si="32"/>
        <v>-117209361.00964127</v>
      </c>
      <c r="AH77" s="10">
        <f t="shared" si="32"/>
        <v>-121342158.46802445</v>
      </c>
      <c r="AI77" s="10">
        <f t="shared" si="32"/>
        <v>-125474955.92640762</v>
      </c>
    </row>
    <row r="78" spans="1:42" ht="15" thickBot="1" x14ac:dyDescent="0.4">
      <c r="A78" s="113"/>
      <c r="B78" s="113"/>
      <c r="C78" s="113"/>
      <c r="D78" s="1"/>
      <c r="E78" s="1"/>
      <c r="F78" s="1"/>
      <c r="G78" s="1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</row>
    <row r="79" spans="1:42" ht="14.5" customHeight="1" x14ac:dyDescent="0.4">
      <c r="A79" s="255" t="s">
        <v>136</v>
      </c>
      <c r="B79" s="256"/>
      <c r="C79" s="241"/>
      <c r="D79" s="242">
        <f>NPV(0.04,G76,H76,I76,J76,K76,L76,M76,N76,O76,P76,Q76,R76,S76,T76,U76,V76,W76,X76,Y76,Z76,AA76,AB76,AC76,AD76,AE76,AF76,AG76,AH76,AI76)</f>
        <v>-75083202.506575182</v>
      </c>
      <c r="E79" s="130"/>
      <c r="F79" s="197"/>
      <c r="G79" s="130"/>
      <c r="H79" s="101"/>
      <c r="I79" s="130"/>
      <c r="J79" s="130"/>
      <c r="K79" s="130"/>
      <c r="L79" s="130"/>
      <c r="M79" s="130"/>
      <c r="N79" s="130"/>
      <c r="O79" s="130"/>
      <c r="P79" s="130"/>
      <c r="Q79" s="130"/>
      <c r="R79" s="130"/>
      <c r="S79" s="130"/>
      <c r="T79" s="130"/>
      <c r="U79" s="130"/>
      <c r="V79" s="130"/>
      <c r="W79" s="130"/>
      <c r="X79" s="130"/>
      <c r="Y79" s="130"/>
      <c r="Z79" s="130"/>
      <c r="AA79" s="130"/>
      <c r="AB79" s="130"/>
      <c r="AC79" s="130"/>
      <c r="AD79" s="130"/>
      <c r="AE79" s="130"/>
      <c r="AF79" s="130"/>
      <c r="AG79" s="130"/>
      <c r="AH79" s="130"/>
      <c r="AI79" s="130"/>
    </row>
    <row r="80" spans="1:42" ht="14.5" customHeight="1" x14ac:dyDescent="0.4">
      <c r="A80" s="257"/>
      <c r="B80" s="258"/>
      <c r="C80" s="243"/>
      <c r="D80" s="244"/>
      <c r="E80" s="130"/>
      <c r="F80" s="198"/>
      <c r="G80" s="198"/>
      <c r="H80" s="156"/>
      <c r="I80" s="130"/>
      <c r="J80" s="129"/>
      <c r="K80" s="198"/>
      <c r="L80" s="130"/>
      <c r="M80" s="130"/>
      <c r="N80" s="130"/>
      <c r="O80" s="130"/>
      <c r="P80" s="130"/>
      <c r="Q80" s="130"/>
      <c r="R80" s="130"/>
      <c r="S80" s="130"/>
      <c r="T80" s="130"/>
      <c r="U80" s="130"/>
      <c r="V80" s="130"/>
      <c r="W80" s="130"/>
      <c r="X80" s="130"/>
      <c r="Y80" s="130"/>
      <c r="Z80" s="130"/>
      <c r="AA80" s="130"/>
      <c r="AB80" s="130"/>
      <c r="AC80" s="130"/>
      <c r="AD80" s="130"/>
      <c r="AE80" s="130"/>
      <c r="AF80" s="130"/>
      <c r="AG80" s="130"/>
      <c r="AH80" s="130"/>
      <c r="AI80" s="130"/>
    </row>
    <row r="81" spans="1:35" ht="14.5" customHeight="1" x14ac:dyDescent="0.4">
      <c r="A81" s="334" t="s">
        <v>96</v>
      </c>
      <c r="B81" s="335"/>
      <c r="C81" s="243"/>
      <c r="D81" s="244">
        <f>SUM(G71:AI71)+D79</f>
        <v>-75083202.506575182</v>
      </c>
      <c r="E81" s="130"/>
      <c r="F81" s="247"/>
      <c r="G81" s="130"/>
      <c r="H81" s="130"/>
      <c r="I81" s="203"/>
      <c r="J81" s="204"/>
      <c r="K81" s="130"/>
      <c r="L81" s="130"/>
      <c r="M81" s="130"/>
      <c r="N81" s="130"/>
      <c r="O81" s="130"/>
      <c r="P81" s="130"/>
      <c r="Q81" s="130"/>
      <c r="R81" s="130"/>
      <c r="S81" s="130"/>
      <c r="T81" s="130"/>
      <c r="U81" s="130"/>
      <c r="V81" s="130"/>
      <c r="W81" s="130"/>
      <c r="X81" s="130"/>
      <c r="Y81" s="130"/>
      <c r="Z81" s="130"/>
      <c r="AA81" s="130"/>
      <c r="AB81" s="130"/>
      <c r="AC81" s="130"/>
      <c r="AD81" s="130"/>
      <c r="AE81" s="130"/>
      <c r="AF81" s="130"/>
      <c r="AG81" s="130"/>
      <c r="AH81" s="130"/>
      <c r="AI81" s="130"/>
    </row>
    <row r="82" spans="1:35" ht="14.5" customHeight="1" x14ac:dyDescent="0.4">
      <c r="A82" s="334"/>
      <c r="B82" s="335"/>
      <c r="C82" s="243"/>
      <c r="D82" s="244"/>
      <c r="E82" s="130"/>
      <c r="F82" s="130"/>
      <c r="G82" s="130"/>
      <c r="H82" s="130"/>
      <c r="I82" s="130"/>
      <c r="J82" s="129"/>
      <c r="K82" s="130"/>
      <c r="L82" s="130"/>
      <c r="M82" s="130"/>
      <c r="N82" s="130"/>
      <c r="O82" s="130"/>
      <c r="P82" s="130"/>
      <c r="Q82" s="130"/>
      <c r="R82" s="130"/>
      <c r="S82" s="130"/>
      <c r="T82" s="130"/>
      <c r="U82" s="130"/>
      <c r="V82" s="130"/>
      <c r="W82" s="130"/>
      <c r="X82" s="130"/>
      <c r="Y82" s="130"/>
      <c r="Z82" s="130"/>
      <c r="AA82" s="130"/>
      <c r="AB82" s="130"/>
      <c r="AC82" s="130"/>
      <c r="AD82" s="130"/>
      <c r="AE82" s="130"/>
      <c r="AF82" s="130"/>
      <c r="AG82" s="130"/>
      <c r="AH82" s="130"/>
      <c r="AI82" s="130"/>
    </row>
    <row r="83" spans="1:35" ht="14.5" customHeight="1" x14ac:dyDescent="0.4">
      <c r="A83" s="334" t="s">
        <v>137</v>
      </c>
      <c r="B83" s="335"/>
      <c r="C83" s="259"/>
      <c r="D83" s="239" t="s">
        <v>150</v>
      </c>
      <c r="E83" s="198"/>
      <c r="F83" s="130"/>
      <c r="G83" s="130"/>
      <c r="H83" s="130"/>
      <c r="I83" s="130"/>
      <c r="J83" s="129"/>
      <c r="K83" s="130"/>
      <c r="L83" s="130"/>
      <c r="M83" s="130"/>
      <c r="N83" s="130"/>
      <c r="O83" s="130"/>
      <c r="P83" s="130"/>
      <c r="Q83" s="130"/>
      <c r="R83" s="130"/>
      <c r="S83" s="130"/>
      <c r="T83" s="130"/>
      <c r="U83" s="130"/>
      <c r="V83" s="130"/>
      <c r="W83" s="130"/>
      <c r="X83" s="130"/>
      <c r="Y83" s="130"/>
      <c r="Z83" s="130"/>
      <c r="AA83" s="130"/>
      <c r="AB83" s="130"/>
      <c r="AC83" s="130"/>
      <c r="AD83" s="130"/>
      <c r="AE83" s="130"/>
      <c r="AF83" s="130"/>
      <c r="AG83" s="130"/>
      <c r="AH83" s="130"/>
      <c r="AI83" s="130"/>
    </row>
    <row r="84" spans="1:35" ht="14.5" customHeight="1" thickBot="1" x14ac:dyDescent="0.45">
      <c r="A84" s="338"/>
      <c r="B84" s="339"/>
      <c r="C84" s="260"/>
      <c r="D84" s="261"/>
      <c r="E84" s="207"/>
      <c r="F84" s="130"/>
      <c r="G84" s="130"/>
      <c r="H84" s="130"/>
      <c r="I84" s="130"/>
      <c r="J84" s="129"/>
      <c r="K84" s="130"/>
      <c r="L84" s="130"/>
      <c r="M84" s="130"/>
      <c r="N84" s="130"/>
      <c r="O84" s="130"/>
      <c r="P84" s="130"/>
      <c r="Q84" s="130"/>
      <c r="R84" s="130"/>
      <c r="S84" s="130"/>
      <c r="T84" s="130"/>
      <c r="U84" s="130"/>
      <c r="V84" s="130"/>
      <c r="W84" s="130"/>
      <c r="X84" s="130"/>
      <c r="Y84" s="130"/>
      <c r="Z84" s="130"/>
      <c r="AA84" s="130"/>
      <c r="AB84" s="130"/>
      <c r="AC84" s="130"/>
      <c r="AD84" s="130"/>
      <c r="AE84" s="130"/>
      <c r="AF84" s="130"/>
      <c r="AG84" s="130"/>
      <c r="AH84" s="130"/>
      <c r="AI84" s="130"/>
    </row>
    <row r="85" spans="1:35" x14ac:dyDescent="0.35">
      <c r="A85" s="1"/>
      <c r="B85" s="1"/>
      <c r="C85" s="1"/>
      <c r="D85" s="1"/>
      <c r="E85" s="199"/>
      <c r="F85" s="1"/>
      <c r="G85" s="1"/>
      <c r="H85" s="1"/>
      <c r="I85" s="1"/>
      <c r="J85" s="17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</row>
    <row r="86" spans="1:35" s="86" customFormat="1" ht="15" thickBot="1" x14ac:dyDescent="0.4">
      <c r="A86" s="188"/>
      <c r="B86" s="188"/>
      <c r="C86" s="188"/>
      <c r="D86" s="188"/>
      <c r="E86" s="188"/>
      <c r="F86" s="188"/>
      <c r="G86" s="188"/>
      <c r="H86" s="188"/>
      <c r="I86" s="188"/>
      <c r="J86" s="188"/>
      <c r="K86" s="188"/>
      <c r="L86" s="188"/>
      <c r="M86" s="188"/>
      <c r="N86" s="188"/>
      <c r="O86" s="188"/>
      <c r="P86" s="188"/>
      <c r="Q86" s="188"/>
      <c r="R86" s="188"/>
      <c r="S86" s="188"/>
      <c r="T86" s="188"/>
      <c r="U86" s="188"/>
      <c r="V86" s="188"/>
      <c r="W86" s="188"/>
      <c r="X86" s="188"/>
      <c r="Y86" s="188"/>
      <c r="Z86" s="188"/>
      <c r="AA86" s="188"/>
      <c r="AB86" s="188"/>
      <c r="AC86" s="188"/>
      <c r="AD86" s="188"/>
      <c r="AE86" s="188"/>
      <c r="AF86" s="188"/>
      <c r="AG86" s="188"/>
      <c r="AH86" s="188"/>
      <c r="AI86" s="188"/>
    </row>
    <row r="87" spans="1:35" ht="29" customHeight="1" thickTop="1" x14ac:dyDescent="0.35">
      <c r="A87" s="308" t="s">
        <v>139</v>
      </c>
      <c r="B87" s="308"/>
      <c r="C87" s="308"/>
      <c r="D87" s="308"/>
      <c r="E87" s="308"/>
      <c r="F87" s="90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</row>
    <row r="88" spans="1:35" ht="18" x14ac:dyDescent="0.35">
      <c r="A88" s="133"/>
      <c r="B88" s="133"/>
      <c r="C88" s="133"/>
      <c r="D88" s="133"/>
      <c r="E88" s="133"/>
      <c r="F88" s="13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</row>
    <row r="89" spans="1:35" x14ac:dyDescent="0.35">
      <c r="A89" s="95" t="s">
        <v>74</v>
      </c>
      <c r="B89" s="96"/>
      <c r="C89" s="97"/>
      <c r="D89" s="98"/>
      <c r="E89" s="89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</row>
    <row r="90" spans="1:35" x14ac:dyDescent="0.35">
      <c r="A90" s="99" t="s">
        <v>75</v>
      </c>
      <c r="B90" s="100"/>
      <c r="C90" s="101">
        <f>C91+C92+C93</f>
        <v>51056320.210000001</v>
      </c>
      <c r="D90" s="102" t="s">
        <v>76</v>
      </c>
      <c r="E90" s="89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</row>
    <row r="91" spans="1:35" x14ac:dyDescent="0.35">
      <c r="A91" s="309" t="s">
        <v>77</v>
      </c>
      <c r="B91" s="282"/>
      <c r="C91" s="105">
        <v>42262620.210000001</v>
      </c>
      <c r="D91" s="106" t="s">
        <v>76</v>
      </c>
      <c r="E91" s="89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</row>
    <row r="92" spans="1:35" x14ac:dyDescent="0.35">
      <c r="A92" s="309" t="s">
        <v>78</v>
      </c>
      <c r="B92" s="282"/>
      <c r="C92" s="105">
        <v>8500000</v>
      </c>
      <c r="D92" s="106" t="s">
        <v>76</v>
      </c>
      <c r="E92" s="89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</row>
    <row r="93" spans="1:35" x14ac:dyDescent="0.35">
      <c r="A93" s="103" t="s">
        <v>135</v>
      </c>
      <c r="B93" s="104"/>
      <c r="C93" s="196">
        <v>293700</v>
      </c>
      <c r="D93" s="106" t="s">
        <v>76</v>
      </c>
      <c r="E93" s="89"/>
      <c r="F93" s="1"/>
      <c r="G93" s="1"/>
      <c r="H93" s="1"/>
      <c r="I93" s="1"/>
      <c r="J93" s="1"/>
      <c r="K93" s="1"/>
      <c r="L93" s="1"/>
      <c r="M93" s="1"/>
      <c r="N93" s="1"/>
      <c r="O93" s="1"/>
      <c r="P93" s="197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</row>
    <row r="94" spans="1:35" x14ac:dyDescent="0.35">
      <c r="A94" s="107"/>
      <c r="B94" s="108"/>
      <c r="C94" s="100"/>
      <c r="D94" s="102"/>
      <c r="E94" s="89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</row>
    <row r="95" spans="1:35" x14ac:dyDescent="0.35">
      <c r="A95" s="310" t="s">
        <v>79</v>
      </c>
      <c r="B95" s="311"/>
      <c r="C95" s="109">
        <v>0.04</v>
      </c>
      <c r="D95" s="110"/>
      <c r="E95" s="89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</row>
    <row r="96" spans="1:35" x14ac:dyDescent="0.3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</row>
    <row r="97" spans="1:35" x14ac:dyDescent="0.35">
      <c r="A97" s="193"/>
      <c r="B97" s="193"/>
      <c r="C97" s="193"/>
      <c r="D97" s="193"/>
      <c r="E97" s="193"/>
      <c r="F97" s="193"/>
      <c r="G97" s="194">
        <v>2022</v>
      </c>
      <c r="H97" s="194">
        <v>2023</v>
      </c>
      <c r="I97" s="194">
        <v>2024</v>
      </c>
      <c r="J97" s="194">
        <v>2025</v>
      </c>
      <c r="K97" s="194">
        <v>2026</v>
      </c>
      <c r="L97" s="194">
        <v>2027</v>
      </c>
      <c r="M97" s="194">
        <v>2028</v>
      </c>
      <c r="N97" s="194">
        <v>2029</v>
      </c>
      <c r="O97" s="194">
        <v>2030</v>
      </c>
      <c r="P97" s="194">
        <v>2031</v>
      </c>
      <c r="Q97" s="194">
        <v>2032</v>
      </c>
      <c r="R97" s="194">
        <v>2033</v>
      </c>
      <c r="S97" s="194">
        <v>2034</v>
      </c>
      <c r="T97" s="194">
        <v>2035</v>
      </c>
      <c r="U97" s="194">
        <v>2036</v>
      </c>
      <c r="V97" s="194">
        <v>2037</v>
      </c>
      <c r="W97" s="194">
        <v>2038</v>
      </c>
      <c r="X97" s="194">
        <v>2039</v>
      </c>
      <c r="Y97" s="194">
        <v>2040</v>
      </c>
      <c r="Z97" s="194">
        <v>2041</v>
      </c>
      <c r="AA97" s="194">
        <v>2042</v>
      </c>
      <c r="AB97" s="194">
        <v>2043</v>
      </c>
      <c r="AC97" s="194">
        <v>2044</v>
      </c>
      <c r="AD97" s="194">
        <v>2045</v>
      </c>
      <c r="AE97" s="194">
        <v>2046</v>
      </c>
      <c r="AF97" s="194">
        <v>2047</v>
      </c>
      <c r="AG97" s="194">
        <v>2048</v>
      </c>
      <c r="AH97" s="194">
        <v>2049</v>
      </c>
      <c r="AI97" s="194">
        <v>2050</v>
      </c>
    </row>
    <row r="98" spans="1:35" s="208" customFormat="1" x14ac:dyDescent="0.35">
      <c r="A98" s="328" t="s">
        <v>145</v>
      </c>
      <c r="B98" s="328"/>
      <c r="C98" s="191"/>
      <c r="D98" s="191"/>
      <c r="E98" s="191"/>
      <c r="F98" s="191"/>
      <c r="G98" s="10">
        <f>Rekonštrukcia!L59-Rekonštrukcia!L50</f>
        <v>-800000.7090400029</v>
      </c>
      <c r="H98" s="10">
        <f>Rekonštrukcia!M59-Rekonštrukcia!M50</f>
        <v>-1843804.9702879959</v>
      </c>
      <c r="I98" s="10">
        <f>Rekonštrukcia!N59-Rekonštrukcia!N50</f>
        <v>105535.64218400093</v>
      </c>
      <c r="J98" s="10">
        <f>Rekonštrukcia!O59-Rekonštrukcia!O50</f>
        <v>-2175408.8508588243</v>
      </c>
      <c r="K98" s="10">
        <f>Rekonštrukcia!P59-Rekonštrukcia!P50</f>
        <v>-4472922.9234514749</v>
      </c>
      <c r="L98" s="10">
        <f>Rekonštrukcia!Q59-Rekonštrukcia!Q50</f>
        <v>-3368541.8336141491</v>
      </c>
      <c r="M98" s="10">
        <f>Rekonštrukcia!R59-Rekonštrukcia!R50</f>
        <v>-2574015.8686234993</v>
      </c>
      <c r="N98" s="10">
        <f>Rekonštrukcia!S59-Rekonštrukcia!S50</f>
        <v>-2574015.8686234993</v>
      </c>
      <c r="O98" s="10">
        <f>Rekonštrukcia!T59-Rekonštrukcia!T50</f>
        <v>-2574015.8686234993</v>
      </c>
      <c r="P98" s="10">
        <f>Rekonštrukcia!U59-Rekonštrukcia!U50</f>
        <v>-2574015.8686234993</v>
      </c>
      <c r="Q98" s="10">
        <f>Rekonštrukcia!V59-Rekonštrukcia!V50</f>
        <v>-2574015.8686234993</v>
      </c>
      <c r="R98" s="10">
        <f>Rekonštrukcia!W59-Rekonštrukcia!W50</f>
        <v>-2378265.8686234993</v>
      </c>
      <c r="S98" s="10">
        <f>Rekonštrukcia!X59-Rekonštrukcia!X50</f>
        <v>-2182515.8686234993</v>
      </c>
      <c r="T98" s="10">
        <f>Rekonštrukcia!Y59-Rekonštrukcia!Y50</f>
        <v>-1751865.8686234988</v>
      </c>
      <c r="U98" s="10">
        <f>Rekonštrukcia!Z59-Rekonštrukcia!Z50</f>
        <v>-1712715.8686234988</v>
      </c>
      <c r="V98" s="10">
        <f>Rekonštrukcia!AA59-Rekonštrukcia!AA50</f>
        <v>-1634415.8686234988</v>
      </c>
      <c r="W98" s="10">
        <f>Rekonštrukcia!AB59-Rekonštrukcia!AB50</f>
        <v>-531361.48114249879</v>
      </c>
      <c r="X98" s="10">
        <f>Rekonštrukcia!AC59-Rekonštrukcia!AC50</f>
        <v>-531361.48114249879</v>
      </c>
      <c r="Y98" s="10">
        <f>Rekonštrukcia!AD59-Rekonštrukcia!AD50</f>
        <v>-531361.48114249879</v>
      </c>
      <c r="Z98" s="10">
        <f>Rekonštrukcia!AE59-Rekonštrukcia!AE50</f>
        <v>-531361.48114249879</v>
      </c>
      <c r="AA98" s="10">
        <f>Rekonštrukcia!AF59-Rekonštrukcia!AF50</f>
        <v>-531361.48114249879</v>
      </c>
      <c r="AB98" s="10">
        <f>Rekonštrukcia!AG59-Rekonštrukcia!AG50</f>
        <v>-531361.48114249879</v>
      </c>
      <c r="AC98" s="10">
        <f>Rekonštrukcia!AH59-Rekonštrukcia!AH50</f>
        <v>-531361.48114249879</v>
      </c>
      <c r="AD98" s="10">
        <f>Rekonštrukcia!AI59-Rekonštrukcia!AI50</f>
        <v>-531361.48114249879</v>
      </c>
      <c r="AE98" s="10">
        <f>Rekonštrukcia!AJ59-Rekonštrukcia!AJ50</f>
        <v>-531361.48114249879</v>
      </c>
      <c r="AF98" s="10">
        <f>Rekonštrukcia!AK59-Rekonštrukcia!AK50</f>
        <v>-531361.48114249879</v>
      </c>
      <c r="AG98" s="10">
        <f>Rekonštrukcia!AL59-Rekonštrukcia!AL50</f>
        <v>-531361.48114249879</v>
      </c>
      <c r="AH98" s="10">
        <f>Rekonštrukcia!AM59-Rekonštrukcia!AM50</f>
        <v>-531361.48114249879</v>
      </c>
      <c r="AI98" s="10">
        <f>Rekonštrukcia!AN59-Rekonštrukcia!AN50</f>
        <v>-531361.48114249879</v>
      </c>
    </row>
    <row r="99" spans="1:35" x14ac:dyDescent="0.3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</row>
    <row r="100" spans="1:35" x14ac:dyDescent="0.35">
      <c r="A100" s="333" t="s">
        <v>81</v>
      </c>
      <c r="B100" s="333"/>
      <c r="C100" s="333"/>
      <c r="D100" s="333"/>
      <c r="E100" s="333"/>
      <c r="F100" s="112"/>
      <c r="G100" s="17">
        <f>Rekonštrukcia!L51</f>
        <v>993903</v>
      </c>
      <c r="H100" s="17">
        <f>Rekonštrukcia!M51</f>
        <v>1003842.03</v>
      </c>
      <c r="I100" s="17">
        <f>Rekonštrukcia!N51</f>
        <v>1013880.4503</v>
      </c>
      <c r="J100" s="17">
        <f>Rekonštrukcia!O51</f>
        <v>1024019.254803</v>
      </c>
      <c r="K100" s="17">
        <f>Rekonštrukcia!P51</f>
        <v>1034259.4473510301</v>
      </c>
      <c r="L100" s="17">
        <f>Rekonštrukcia!Q51</f>
        <v>1044602.0418245404</v>
      </c>
      <c r="M100" s="17">
        <f>Rekonštrukcia!R51</f>
        <v>1044602.0418245404</v>
      </c>
      <c r="N100" s="17">
        <f>Rekonštrukcia!S51</f>
        <v>1044602.0418245404</v>
      </c>
      <c r="O100" s="17">
        <f>Rekonštrukcia!T51</f>
        <v>1044602.0418245404</v>
      </c>
      <c r="P100" s="17">
        <f>Rekonštrukcia!U51</f>
        <v>1044602.0418245404</v>
      </c>
      <c r="Q100" s="17">
        <f>Rekonštrukcia!V51</f>
        <v>1044602.0418245404</v>
      </c>
      <c r="R100" s="17">
        <f>Rekonštrukcia!W51</f>
        <v>1044602.0418245404</v>
      </c>
      <c r="S100" s="17">
        <f>Rekonštrukcia!X51</f>
        <v>1044602.0418245404</v>
      </c>
      <c r="T100" s="17">
        <f>Rekonštrukcia!Y51</f>
        <v>1044602.0418245404</v>
      </c>
      <c r="U100" s="17">
        <f>Rekonštrukcia!Z51</f>
        <v>1044602.0418245404</v>
      </c>
      <c r="V100" s="17">
        <f>Rekonštrukcia!AA51</f>
        <v>1044602.0418245404</v>
      </c>
      <c r="W100" s="17">
        <f>Rekonštrukcia!AB51</f>
        <v>1044602.0418245404</v>
      </c>
      <c r="X100" s="17">
        <f>Rekonštrukcia!AC51</f>
        <v>1044602.0418245404</v>
      </c>
      <c r="Y100" s="17">
        <f>Rekonštrukcia!AD51</f>
        <v>1044602.0418245404</v>
      </c>
      <c r="Z100" s="17">
        <f>Rekonštrukcia!AE51</f>
        <v>1044602.0418245404</v>
      </c>
      <c r="AA100" s="17">
        <f>Rekonštrukcia!AF51</f>
        <v>1044602.0418245404</v>
      </c>
      <c r="AB100" s="17">
        <f>Rekonštrukcia!AG51</f>
        <v>1044602.0418245404</v>
      </c>
      <c r="AC100" s="17">
        <f>Rekonštrukcia!AH51</f>
        <v>1044602.0418245404</v>
      </c>
      <c r="AD100" s="17">
        <f>Rekonštrukcia!AI51</f>
        <v>1044602.0418245404</v>
      </c>
      <c r="AE100" s="17">
        <f>Rekonštrukcia!AJ51</f>
        <v>1044602.0418245404</v>
      </c>
      <c r="AF100" s="17">
        <f>Rekonštrukcia!AK51</f>
        <v>1044602.0418245404</v>
      </c>
      <c r="AG100" s="17">
        <f>Rekonštrukcia!AL51</f>
        <v>1044602.0418245404</v>
      </c>
      <c r="AH100" s="17">
        <f>Rekonštrukcia!AM51</f>
        <v>1044602.0418245404</v>
      </c>
      <c r="AI100" s="17">
        <f>Rekonštrukcia!AN51</f>
        <v>1044602.0418245404</v>
      </c>
    </row>
    <row r="101" spans="1:35" x14ac:dyDescent="0.35">
      <c r="A101" s="113"/>
      <c r="B101" s="113"/>
      <c r="C101" s="113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</row>
    <row r="102" spans="1:35" x14ac:dyDescent="0.35">
      <c r="A102" s="333" t="s">
        <v>97</v>
      </c>
      <c r="B102" s="333"/>
      <c r="C102" s="333"/>
      <c r="D102" s="1"/>
      <c r="E102" s="1"/>
      <c r="F102" s="1"/>
      <c r="G102" s="17">
        <f>G103+G107</f>
        <v>293700</v>
      </c>
      <c r="H102" s="17">
        <f t="shared" ref="H102:AI102" si="33">H103+H107</f>
        <v>10063029</v>
      </c>
      <c r="I102" s="17">
        <f t="shared" si="33"/>
        <v>12074847</v>
      </c>
      <c r="J102" s="17">
        <f t="shared" si="33"/>
        <v>16824847</v>
      </c>
      <c r="K102" s="17">
        <f t="shared" si="33"/>
        <v>11799897</v>
      </c>
      <c r="L102" s="17">
        <f t="shared" si="33"/>
        <v>0</v>
      </c>
      <c r="M102" s="17">
        <f t="shared" si="33"/>
        <v>0</v>
      </c>
      <c r="N102" s="17">
        <f t="shared" si="33"/>
        <v>0</v>
      </c>
      <c r="O102" s="17">
        <f t="shared" si="33"/>
        <v>0</v>
      </c>
      <c r="P102" s="17">
        <f t="shared" si="33"/>
        <v>0</v>
      </c>
      <c r="Q102" s="17">
        <f t="shared" si="33"/>
        <v>0</v>
      </c>
      <c r="R102" s="17">
        <f t="shared" si="33"/>
        <v>0</v>
      </c>
      <c r="S102" s="17">
        <f t="shared" si="33"/>
        <v>0</v>
      </c>
      <c r="T102" s="17">
        <f t="shared" si="33"/>
        <v>0</v>
      </c>
      <c r="U102" s="17">
        <f t="shared" si="33"/>
        <v>0</v>
      </c>
      <c r="V102" s="17">
        <f t="shared" si="33"/>
        <v>0</v>
      </c>
      <c r="W102" s="17">
        <f t="shared" si="33"/>
        <v>0</v>
      </c>
      <c r="X102" s="17">
        <f t="shared" si="33"/>
        <v>0</v>
      </c>
      <c r="Y102" s="17">
        <f t="shared" si="33"/>
        <v>0</v>
      </c>
      <c r="Z102" s="17">
        <f t="shared" si="33"/>
        <v>0</v>
      </c>
      <c r="AA102" s="17">
        <f t="shared" si="33"/>
        <v>0</v>
      </c>
      <c r="AB102" s="17">
        <f t="shared" si="33"/>
        <v>0</v>
      </c>
      <c r="AC102" s="17">
        <f t="shared" si="33"/>
        <v>0</v>
      </c>
      <c r="AD102" s="17">
        <f t="shared" si="33"/>
        <v>0</v>
      </c>
      <c r="AE102" s="17">
        <f t="shared" si="33"/>
        <v>0</v>
      </c>
      <c r="AF102" s="17">
        <f t="shared" si="33"/>
        <v>0</v>
      </c>
      <c r="AG102" s="17">
        <f t="shared" si="33"/>
        <v>0</v>
      </c>
      <c r="AH102" s="17">
        <f t="shared" si="33"/>
        <v>0</v>
      </c>
      <c r="AI102" s="17">
        <f t="shared" si="33"/>
        <v>0</v>
      </c>
    </row>
    <row r="103" spans="1:35" x14ac:dyDescent="0.35">
      <c r="A103" s="347" t="s">
        <v>98</v>
      </c>
      <c r="B103" s="347"/>
      <c r="C103" s="347"/>
      <c r="D103" s="17"/>
      <c r="E103" s="17"/>
      <c r="F103" s="17"/>
      <c r="G103" s="17">
        <v>293700</v>
      </c>
      <c r="H103" s="17">
        <f>H104+H105</f>
        <v>0</v>
      </c>
      <c r="I103" s="17">
        <f>I104+I105</f>
        <v>0</v>
      </c>
      <c r="J103" s="17">
        <f>J104+J105</f>
        <v>4750000</v>
      </c>
      <c r="K103" s="17">
        <f>K104+K105</f>
        <v>3750000</v>
      </c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</row>
    <row r="104" spans="1:35" x14ac:dyDescent="0.35">
      <c r="A104" s="348" t="s">
        <v>83</v>
      </c>
      <c r="B104" s="348"/>
      <c r="C104" s="348"/>
      <c r="D104" s="348"/>
      <c r="E104" s="119"/>
      <c r="F104" s="119"/>
      <c r="G104" s="119">
        <v>0</v>
      </c>
      <c r="H104" s="119">
        <v>0</v>
      </c>
      <c r="I104" s="119">
        <v>0</v>
      </c>
      <c r="J104" s="119">
        <v>1000000</v>
      </c>
      <c r="K104" s="119">
        <v>0</v>
      </c>
      <c r="L104" s="119"/>
      <c r="M104" s="119"/>
      <c r="N104" s="119"/>
      <c r="O104" s="119"/>
      <c r="P104" s="119"/>
      <c r="Q104" s="119"/>
      <c r="R104" s="119"/>
      <c r="S104" s="119"/>
      <c r="T104" s="119"/>
      <c r="U104" s="119"/>
      <c r="V104" s="119"/>
      <c r="W104" s="119"/>
      <c r="X104" s="119"/>
      <c r="Y104" s="119"/>
      <c r="Z104" s="119"/>
      <c r="AA104" s="119"/>
      <c r="AB104" s="119"/>
      <c r="AC104" s="119"/>
      <c r="AD104" s="119"/>
      <c r="AE104" s="119"/>
      <c r="AF104" s="119"/>
      <c r="AG104" s="119"/>
      <c r="AH104" s="119"/>
      <c r="AI104" s="119"/>
    </row>
    <row r="105" spans="1:35" x14ac:dyDescent="0.35">
      <c r="A105" s="348" t="s">
        <v>84</v>
      </c>
      <c r="B105" s="348"/>
      <c r="C105" s="348"/>
      <c r="D105" s="348"/>
      <c r="E105" s="119"/>
      <c r="F105" s="119"/>
      <c r="G105" s="119">
        <v>0</v>
      </c>
      <c r="H105" s="119">
        <v>0</v>
      </c>
      <c r="I105" s="119">
        <v>0</v>
      </c>
      <c r="J105" s="119">
        <v>3750000</v>
      </c>
      <c r="K105" s="119">
        <v>3750000</v>
      </c>
      <c r="L105" s="119">
        <v>0</v>
      </c>
      <c r="M105" s="119">
        <v>0</v>
      </c>
      <c r="N105" s="119">
        <v>0</v>
      </c>
      <c r="O105" s="119">
        <v>0</v>
      </c>
      <c r="P105" s="119">
        <v>0</v>
      </c>
      <c r="Q105" s="119">
        <v>0</v>
      </c>
      <c r="R105" s="119">
        <v>0</v>
      </c>
      <c r="S105" s="119">
        <v>0</v>
      </c>
      <c r="T105" s="119">
        <v>0</v>
      </c>
      <c r="U105" s="119">
        <v>0</v>
      </c>
      <c r="V105" s="119">
        <v>0</v>
      </c>
      <c r="W105" s="119">
        <v>0</v>
      </c>
      <c r="X105" s="119">
        <v>0</v>
      </c>
      <c r="Y105" s="119">
        <v>0</v>
      </c>
      <c r="Z105" s="119">
        <v>0</v>
      </c>
      <c r="AA105" s="119">
        <v>0</v>
      </c>
      <c r="AB105" s="119">
        <v>0</v>
      </c>
      <c r="AC105" s="119">
        <v>0</v>
      </c>
      <c r="AD105" s="119">
        <v>0</v>
      </c>
      <c r="AE105" s="119">
        <v>0</v>
      </c>
      <c r="AF105" s="119">
        <v>0</v>
      </c>
      <c r="AG105" s="119">
        <v>0</v>
      </c>
      <c r="AH105" s="119">
        <v>0</v>
      </c>
      <c r="AI105" s="119">
        <v>0</v>
      </c>
    </row>
    <row r="106" spans="1:35" x14ac:dyDescent="0.35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</row>
    <row r="107" spans="1:35" x14ac:dyDescent="0.35">
      <c r="A107" s="347" t="s">
        <v>99</v>
      </c>
      <c r="B107" s="347"/>
      <c r="C107" s="347"/>
      <c r="D107" s="347"/>
      <c r="E107" s="17"/>
      <c r="F107" s="17"/>
      <c r="G107" s="17">
        <v>0</v>
      </c>
      <c r="H107" s="17">
        <f t="shared" ref="H107:K107" si="34">H108+H112</f>
        <v>10063029</v>
      </c>
      <c r="I107" s="17">
        <f t="shared" si="34"/>
        <v>12074847</v>
      </c>
      <c r="J107" s="17">
        <f t="shared" si="34"/>
        <v>12074847</v>
      </c>
      <c r="K107" s="17">
        <f t="shared" si="34"/>
        <v>8049897</v>
      </c>
      <c r="L107" s="17">
        <f t="shared" ref="L107:AI107" si="35">L108+L109</f>
        <v>0</v>
      </c>
      <c r="M107" s="17">
        <f t="shared" si="35"/>
        <v>0</v>
      </c>
      <c r="N107" s="17">
        <f t="shared" si="35"/>
        <v>0</v>
      </c>
      <c r="O107" s="17">
        <f t="shared" si="35"/>
        <v>0</v>
      </c>
      <c r="P107" s="17">
        <f t="shared" si="35"/>
        <v>0</v>
      </c>
      <c r="Q107" s="17">
        <f t="shared" si="35"/>
        <v>0</v>
      </c>
      <c r="R107" s="17">
        <f t="shared" si="35"/>
        <v>0</v>
      </c>
      <c r="S107" s="17">
        <f t="shared" si="35"/>
        <v>0</v>
      </c>
      <c r="T107" s="17">
        <f t="shared" si="35"/>
        <v>0</v>
      </c>
      <c r="U107" s="17">
        <f t="shared" si="35"/>
        <v>0</v>
      </c>
      <c r="V107" s="17">
        <f t="shared" si="35"/>
        <v>0</v>
      </c>
      <c r="W107" s="17">
        <f t="shared" si="35"/>
        <v>0</v>
      </c>
      <c r="X107" s="17">
        <f t="shared" si="35"/>
        <v>0</v>
      </c>
      <c r="Y107" s="17">
        <f t="shared" si="35"/>
        <v>0</v>
      </c>
      <c r="Z107" s="17">
        <f t="shared" si="35"/>
        <v>0</v>
      </c>
      <c r="AA107" s="17">
        <f t="shared" si="35"/>
        <v>0</v>
      </c>
      <c r="AB107" s="17">
        <f t="shared" si="35"/>
        <v>0</v>
      </c>
      <c r="AC107" s="17">
        <f t="shared" si="35"/>
        <v>0</v>
      </c>
      <c r="AD107" s="17">
        <f t="shared" si="35"/>
        <v>0</v>
      </c>
      <c r="AE107" s="17">
        <f t="shared" si="35"/>
        <v>0</v>
      </c>
      <c r="AF107" s="17">
        <f t="shared" si="35"/>
        <v>0</v>
      </c>
      <c r="AG107" s="17">
        <f t="shared" si="35"/>
        <v>0</v>
      </c>
      <c r="AH107" s="17">
        <f t="shared" si="35"/>
        <v>0</v>
      </c>
      <c r="AI107" s="17">
        <f t="shared" si="35"/>
        <v>0</v>
      </c>
    </row>
    <row r="108" spans="1:35" x14ac:dyDescent="0.35">
      <c r="A108" s="348" t="s">
        <v>86</v>
      </c>
      <c r="B108" s="348"/>
      <c r="C108" s="348"/>
      <c r="D108" s="348"/>
      <c r="E108" s="119"/>
      <c r="F108" s="119"/>
      <c r="G108" s="119">
        <v>0</v>
      </c>
      <c r="H108" s="119">
        <v>10063029</v>
      </c>
      <c r="I108" s="119">
        <v>12074847</v>
      </c>
      <c r="J108" s="119">
        <v>12074847</v>
      </c>
      <c r="K108" s="119">
        <v>8049897</v>
      </c>
      <c r="L108" s="119"/>
      <c r="M108" s="119"/>
      <c r="N108" s="119"/>
      <c r="O108" s="119"/>
      <c r="P108" s="119"/>
      <c r="Q108" s="119"/>
      <c r="R108" s="119"/>
      <c r="S108" s="119"/>
      <c r="T108" s="119"/>
      <c r="U108" s="119"/>
      <c r="V108" s="119"/>
      <c r="W108" s="119"/>
      <c r="X108" s="119"/>
      <c r="Y108" s="119"/>
      <c r="Z108" s="119"/>
      <c r="AA108" s="119"/>
      <c r="AB108" s="119"/>
      <c r="AC108" s="119"/>
      <c r="AD108" s="119"/>
      <c r="AE108" s="119"/>
      <c r="AF108" s="119"/>
      <c r="AG108" s="119"/>
      <c r="AH108" s="119"/>
      <c r="AI108" s="119"/>
    </row>
    <row r="109" spans="1:35" x14ac:dyDescent="0.35">
      <c r="A109" s="348" t="s">
        <v>87</v>
      </c>
      <c r="B109" s="348"/>
      <c r="C109" s="348"/>
      <c r="D109" s="348"/>
      <c r="E109" s="119"/>
      <c r="F109" s="119"/>
      <c r="G109" s="119">
        <v>0</v>
      </c>
      <c r="H109" s="119">
        <v>0</v>
      </c>
      <c r="I109" s="119">
        <v>0</v>
      </c>
      <c r="J109" s="119"/>
      <c r="K109" s="119"/>
      <c r="L109" s="119"/>
      <c r="M109" s="119"/>
      <c r="N109" s="119"/>
      <c r="O109" s="119"/>
      <c r="P109" s="119"/>
      <c r="Q109" s="119"/>
      <c r="R109" s="119"/>
      <c r="S109" s="119"/>
      <c r="T109" s="119"/>
      <c r="U109" s="119"/>
      <c r="V109" s="119"/>
      <c r="W109" s="119"/>
      <c r="X109" s="119"/>
      <c r="Y109" s="119"/>
      <c r="Z109" s="119"/>
      <c r="AA109" s="119"/>
      <c r="AB109" s="119"/>
      <c r="AC109" s="119"/>
      <c r="AD109" s="119"/>
      <c r="AE109" s="119"/>
      <c r="AF109" s="119"/>
      <c r="AG109" s="119"/>
      <c r="AH109" s="119"/>
      <c r="AI109" s="119"/>
    </row>
    <row r="110" spans="1:35" x14ac:dyDescent="0.35">
      <c r="A110" s="120"/>
      <c r="B110" s="120"/>
      <c r="C110" s="120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</row>
    <row r="111" spans="1:35" x14ac:dyDescent="0.35">
      <c r="A111" s="17" t="s">
        <v>88</v>
      </c>
      <c r="B111" s="120"/>
      <c r="C111" s="120"/>
      <c r="D111" s="17"/>
      <c r="E111" s="17"/>
      <c r="F111" s="17"/>
      <c r="G111" s="17">
        <v>0</v>
      </c>
      <c r="H111" s="17">
        <v>0</v>
      </c>
      <c r="I111" s="17">
        <v>0</v>
      </c>
      <c r="J111" s="17">
        <v>0</v>
      </c>
      <c r="K111" s="17">
        <v>0</v>
      </c>
      <c r="L111" s="17">
        <v>0</v>
      </c>
      <c r="M111" s="17">
        <v>0</v>
      </c>
      <c r="N111" s="17">
        <v>0</v>
      </c>
      <c r="O111" s="17">
        <v>0</v>
      </c>
      <c r="P111" s="17">
        <v>0</v>
      </c>
      <c r="Q111" s="17">
        <v>0</v>
      </c>
      <c r="R111" s="17">
        <v>0</v>
      </c>
      <c r="S111" s="17">
        <v>0</v>
      </c>
      <c r="T111" s="17">
        <v>0</v>
      </c>
      <c r="U111" s="17">
        <v>0</v>
      </c>
      <c r="V111" s="17">
        <v>0</v>
      </c>
      <c r="W111" s="17">
        <v>0</v>
      </c>
      <c r="X111" s="17">
        <v>0</v>
      </c>
      <c r="Y111" s="17">
        <v>0</v>
      </c>
      <c r="Z111" s="17">
        <v>0</v>
      </c>
      <c r="AA111" s="17">
        <v>0</v>
      </c>
      <c r="AB111" s="17">
        <v>0</v>
      </c>
      <c r="AC111" s="17">
        <v>0</v>
      </c>
      <c r="AD111" s="17">
        <v>0</v>
      </c>
      <c r="AE111" s="17">
        <v>0</v>
      </c>
      <c r="AF111" s="17">
        <v>0</v>
      </c>
      <c r="AG111" s="17">
        <v>0</v>
      </c>
      <c r="AH111" s="17">
        <v>0</v>
      </c>
      <c r="AI111" s="17">
        <v>0</v>
      </c>
    </row>
    <row r="112" spans="1:35" x14ac:dyDescent="0.3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</row>
    <row r="113" spans="1:35" x14ac:dyDescent="0.35">
      <c r="A113" s="17" t="s">
        <v>89</v>
      </c>
      <c r="B113" s="17"/>
      <c r="C113" s="17"/>
      <c r="D113" s="17"/>
      <c r="E113" s="17"/>
      <c r="F113" s="17"/>
      <c r="G113" s="17">
        <v>0</v>
      </c>
      <c r="H113" s="17">
        <v>0</v>
      </c>
      <c r="I113" s="17">
        <v>0</v>
      </c>
      <c r="J113" s="17">
        <v>0</v>
      </c>
      <c r="K113" s="17">
        <v>0</v>
      </c>
      <c r="L113" s="17">
        <v>0</v>
      </c>
      <c r="M113" s="17">
        <v>0</v>
      </c>
      <c r="N113" s="17">
        <v>0</v>
      </c>
      <c r="O113" s="17">
        <v>0</v>
      </c>
      <c r="P113" s="17">
        <v>0</v>
      </c>
      <c r="Q113" s="17">
        <v>0</v>
      </c>
      <c r="R113" s="17">
        <v>0</v>
      </c>
      <c r="S113" s="17">
        <v>0</v>
      </c>
      <c r="T113" s="17">
        <v>0</v>
      </c>
      <c r="U113" s="17">
        <v>0</v>
      </c>
      <c r="V113" s="17">
        <v>0</v>
      </c>
      <c r="W113" s="17">
        <v>0</v>
      </c>
      <c r="X113" s="17">
        <v>0</v>
      </c>
      <c r="Y113" s="17">
        <v>0</v>
      </c>
      <c r="Z113" s="17">
        <v>0</v>
      </c>
      <c r="AA113" s="17">
        <v>0</v>
      </c>
      <c r="AB113" s="17">
        <v>0</v>
      </c>
      <c r="AC113" s="17">
        <v>0</v>
      </c>
      <c r="AD113" s="17">
        <v>0</v>
      </c>
      <c r="AE113" s="17">
        <v>0</v>
      </c>
      <c r="AF113" s="17">
        <v>0</v>
      </c>
      <c r="AG113" s="17">
        <v>0</v>
      </c>
      <c r="AH113" s="17">
        <v>0</v>
      </c>
      <c r="AI113" s="17">
        <v>0</v>
      </c>
    </row>
    <row r="114" spans="1:35" x14ac:dyDescent="0.35">
      <c r="A114" s="121" t="s">
        <v>90</v>
      </c>
      <c r="B114" s="122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</row>
    <row r="115" spans="1:35" x14ac:dyDescent="0.35">
      <c r="A115" s="121" t="s">
        <v>91</v>
      </c>
      <c r="B115" s="123"/>
      <c r="C115" s="120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</row>
    <row r="116" spans="1:35" x14ac:dyDescent="0.35">
      <c r="A116" s="121" t="s">
        <v>92</v>
      </c>
      <c r="B116" s="123"/>
      <c r="C116" s="120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</row>
    <row r="117" spans="1:35" x14ac:dyDescent="0.35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</row>
    <row r="118" spans="1:35" x14ac:dyDescent="0.35">
      <c r="A118" s="346" t="s">
        <v>93</v>
      </c>
      <c r="B118" s="346"/>
      <c r="C118" s="346"/>
      <c r="D118" s="190"/>
      <c r="E118" s="190"/>
      <c r="F118" s="206">
        <f>-C90</f>
        <v>-51056320.210000001</v>
      </c>
      <c r="G118" s="10">
        <f>G98-G102-G111-G113</f>
        <v>-1093700.7090400029</v>
      </c>
      <c r="H118" s="10">
        <f>H98-H102-H111-H113</f>
        <v>-11906833.970287995</v>
      </c>
      <c r="I118" s="10">
        <f>I98-I102-I111-I113</f>
        <v>-11969311.357816</v>
      </c>
      <c r="J118" s="10">
        <f>J98-J102-J111-J113</f>
        <v>-19000255.850858822</v>
      </c>
      <c r="K118" s="10">
        <f>K98-K102-K111-K113</f>
        <v>-16272819.923451476</v>
      </c>
      <c r="L118" s="10">
        <f t="shared" ref="L118:AI118" si="36">L98+L107</f>
        <v>-3368541.8336141491</v>
      </c>
      <c r="M118" s="10">
        <f t="shared" si="36"/>
        <v>-2574015.8686234993</v>
      </c>
      <c r="N118" s="10">
        <f t="shared" si="36"/>
        <v>-2574015.8686234993</v>
      </c>
      <c r="O118" s="10">
        <f t="shared" si="36"/>
        <v>-2574015.8686234993</v>
      </c>
      <c r="P118" s="10">
        <f t="shared" si="36"/>
        <v>-2574015.8686234993</v>
      </c>
      <c r="Q118" s="10">
        <f t="shared" si="36"/>
        <v>-2574015.8686234993</v>
      </c>
      <c r="R118" s="10">
        <f t="shared" si="36"/>
        <v>-2378265.8686234993</v>
      </c>
      <c r="S118" s="10">
        <f t="shared" si="36"/>
        <v>-2182515.8686234993</v>
      </c>
      <c r="T118" s="10">
        <f t="shared" si="36"/>
        <v>-1751865.8686234988</v>
      </c>
      <c r="U118" s="10">
        <f t="shared" si="36"/>
        <v>-1712715.8686234988</v>
      </c>
      <c r="V118" s="10">
        <f t="shared" si="36"/>
        <v>-1634415.8686234988</v>
      </c>
      <c r="W118" s="10">
        <f t="shared" si="36"/>
        <v>-531361.48114249879</v>
      </c>
      <c r="X118" s="10">
        <f t="shared" si="36"/>
        <v>-531361.48114249879</v>
      </c>
      <c r="Y118" s="10">
        <f t="shared" si="36"/>
        <v>-531361.48114249879</v>
      </c>
      <c r="Z118" s="10">
        <f t="shared" si="36"/>
        <v>-531361.48114249879</v>
      </c>
      <c r="AA118" s="10">
        <f t="shared" si="36"/>
        <v>-531361.48114249879</v>
      </c>
      <c r="AB118" s="10">
        <f t="shared" si="36"/>
        <v>-531361.48114249879</v>
      </c>
      <c r="AC118" s="10">
        <f t="shared" si="36"/>
        <v>-531361.48114249879</v>
      </c>
      <c r="AD118" s="10">
        <f t="shared" si="36"/>
        <v>-531361.48114249879</v>
      </c>
      <c r="AE118" s="10">
        <f t="shared" si="36"/>
        <v>-531361.48114249879</v>
      </c>
      <c r="AF118" s="10">
        <f t="shared" si="36"/>
        <v>-531361.48114249879</v>
      </c>
      <c r="AG118" s="10">
        <f t="shared" si="36"/>
        <v>-531361.48114249879</v>
      </c>
      <c r="AH118" s="10">
        <f t="shared" si="36"/>
        <v>-531361.48114249879</v>
      </c>
      <c r="AI118" s="10">
        <f t="shared" si="36"/>
        <v>-531361.48114249879</v>
      </c>
    </row>
    <row r="119" spans="1:35" x14ac:dyDescent="0.35">
      <c r="A119" s="346" t="s">
        <v>94</v>
      </c>
      <c r="B119" s="346"/>
      <c r="C119" s="346"/>
      <c r="D119" s="346"/>
      <c r="E119" s="190"/>
      <c r="F119" s="190"/>
      <c r="G119" s="10">
        <f>G118</f>
        <v>-1093700.7090400029</v>
      </c>
      <c r="H119" s="10">
        <f>G119+H118</f>
        <v>-13000534.679327998</v>
      </c>
      <c r="I119" s="10">
        <f t="shared" ref="I119:AI119" si="37">H119+I118</f>
        <v>-24969846.037143998</v>
      </c>
      <c r="J119" s="10">
        <f t="shared" si="37"/>
        <v>-43970101.88800282</v>
      </c>
      <c r="K119" s="10">
        <f t="shared" si="37"/>
        <v>-60242921.811454296</v>
      </c>
      <c r="L119" s="10">
        <f t="shared" si="37"/>
        <v>-63611463.645068444</v>
      </c>
      <c r="M119" s="10">
        <f t="shared" si="37"/>
        <v>-66185479.513691947</v>
      </c>
      <c r="N119" s="10">
        <f t="shared" si="37"/>
        <v>-68759495.382315442</v>
      </c>
      <c r="O119" s="10">
        <f t="shared" si="37"/>
        <v>-71333511.250938937</v>
      </c>
      <c r="P119" s="10">
        <f t="shared" si="37"/>
        <v>-73907527.119562432</v>
      </c>
      <c r="Q119" s="10">
        <f t="shared" si="37"/>
        <v>-76481542.988185927</v>
      </c>
      <c r="R119" s="10">
        <f t="shared" si="37"/>
        <v>-78859808.856809422</v>
      </c>
      <c r="S119" s="10">
        <f t="shared" si="37"/>
        <v>-81042324.725432917</v>
      </c>
      <c r="T119" s="10">
        <f t="shared" si="37"/>
        <v>-82794190.594056413</v>
      </c>
      <c r="U119" s="10">
        <f t="shared" si="37"/>
        <v>-84506906.462679908</v>
      </c>
      <c r="V119" s="10">
        <f t="shared" si="37"/>
        <v>-86141322.331303403</v>
      </c>
      <c r="W119" s="10">
        <f t="shared" si="37"/>
        <v>-86672683.812445909</v>
      </c>
      <c r="X119" s="10">
        <f t="shared" si="37"/>
        <v>-87204045.293588415</v>
      </c>
      <c r="Y119" s="10">
        <f t="shared" si="37"/>
        <v>-87735406.774730921</v>
      </c>
      <c r="Z119" s="10">
        <f t="shared" si="37"/>
        <v>-88266768.255873427</v>
      </c>
      <c r="AA119" s="10">
        <f t="shared" si="37"/>
        <v>-88798129.737015933</v>
      </c>
      <c r="AB119" s="10">
        <f t="shared" si="37"/>
        <v>-89329491.218158439</v>
      </c>
      <c r="AC119" s="10">
        <f t="shared" si="37"/>
        <v>-89860852.699300945</v>
      </c>
      <c r="AD119" s="10">
        <f t="shared" si="37"/>
        <v>-90392214.180443451</v>
      </c>
      <c r="AE119" s="10">
        <f t="shared" si="37"/>
        <v>-90923575.661585957</v>
      </c>
      <c r="AF119" s="10">
        <f t="shared" si="37"/>
        <v>-91454937.142728463</v>
      </c>
      <c r="AG119" s="10">
        <f t="shared" si="37"/>
        <v>-91986298.623870969</v>
      </c>
      <c r="AH119" s="10">
        <f t="shared" si="37"/>
        <v>-92517660.105013475</v>
      </c>
      <c r="AI119" s="10">
        <f t="shared" si="37"/>
        <v>-93049021.586155981</v>
      </c>
    </row>
    <row r="120" spans="1:35" x14ac:dyDescent="0.35">
      <c r="A120" s="111"/>
      <c r="B120" s="111"/>
      <c r="C120" s="111"/>
      <c r="D120" s="50"/>
      <c r="E120" s="50"/>
      <c r="F120" s="50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</row>
    <row r="121" spans="1:35" ht="15" thickBot="1" x14ac:dyDescent="0.4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</row>
    <row r="122" spans="1:35" ht="14.5" customHeight="1" x14ac:dyDescent="0.35">
      <c r="A122" s="342" t="s">
        <v>95</v>
      </c>
      <c r="B122" s="343"/>
      <c r="C122" s="245"/>
      <c r="D122" s="263">
        <f>NPV(0.04,G118:AI118)</f>
        <v>-72500315.357530981</v>
      </c>
      <c r="E122" s="1"/>
      <c r="F122" s="1"/>
      <c r="G122" s="1"/>
      <c r="H122" s="1"/>
      <c r="I122" s="1"/>
      <c r="J122" s="197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</row>
    <row r="123" spans="1:35" ht="14.5" customHeight="1" x14ac:dyDescent="0.35">
      <c r="A123" s="334"/>
      <c r="B123" s="335"/>
      <c r="C123" s="246"/>
      <c r="D123" s="262"/>
      <c r="E123" s="1"/>
      <c r="F123" s="1"/>
      <c r="G123" s="1"/>
      <c r="H123" s="1"/>
      <c r="I123" s="1"/>
      <c r="J123" s="199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</row>
    <row r="124" spans="1:35" ht="14.5" customHeight="1" x14ac:dyDescent="0.35">
      <c r="A124" s="334" t="s">
        <v>96</v>
      </c>
      <c r="B124" s="335"/>
      <c r="C124" s="246"/>
      <c r="D124" s="262">
        <f>SUM(H111:AJ111)+D122</f>
        <v>-72500315.357530981</v>
      </c>
      <c r="E124" s="1"/>
      <c r="F124" s="1"/>
      <c r="G124" s="1"/>
      <c r="H124" s="1"/>
      <c r="I124" s="1"/>
      <c r="J124" s="10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</row>
    <row r="125" spans="1:35" ht="14.5" customHeight="1" x14ac:dyDescent="0.35">
      <c r="A125" s="334"/>
      <c r="B125" s="335"/>
      <c r="C125" s="246"/>
      <c r="D125" s="262"/>
      <c r="J125" s="154"/>
    </row>
    <row r="126" spans="1:35" ht="14.5" customHeight="1" x14ac:dyDescent="0.35">
      <c r="A126" s="334" t="s">
        <v>137</v>
      </c>
      <c r="B126" s="335"/>
      <c r="C126" s="259"/>
      <c r="D126" s="239" t="s">
        <v>150</v>
      </c>
    </row>
    <row r="127" spans="1:35" ht="15" customHeight="1" thickBot="1" x14ac:dyDescent="0.4">
      <c r="A127" s="338"/>
      <c r="B127" s="339"/>
      <c r="C127" s="260"/>
      <c r="D127" s="240"/>
      <c r="E127" s="207"/>
    </row>
    <row r="129" spans="1:35" ht="15" thickBot="1" x14ac:dyDescent="0.4">
      <c r="A129" s="86"/>
      <c r="B129" s="86"/>
      <c r="C129" s="86"/>
      <c r="D129" s="86"/>
      <c r="E129" s="86"/>
      <c r="F129" s="86"/>
      <c r="G129" s="86"/>
      <c r="H129" s="86"/>
      <c r="I129" s="86"/>
      <c r="J129" s="86"/>
      <c r="K129" s="86"/>
      <c r="L129" s="86"/>
      <c r="M129" s="86"/>
      <c r="N129" s="86"/>
      <c r="O129" s="86"/>
      <c r="P129" s="86"/>
      <c r="Q129" s="86"/>
      <c r="R129" s="86"/>
      <c r="S129" s="86"/>
      <c r="T129" s="86"/>
      <c r="U129" s="86"/>
      <c r="V129" s="86"/>
      <c r="W129" s="86"/>
      <c r="X129" s="86"/>
      <c r="Y129" s="86"/>
      <c r="Z129" s="86"/>
      <c r="AA129" s="86"/>
      <c r="AB129" s="86"/>
      <c r="AC129" s="86"/>
      <c r="AD129" s="86"/>
      <c r="AE129" s="86"/>
      <c r="AF129" s="86"/>
      <c r="AG129" s="86"/>
      <c r="AH129" s="86"/>
      <c r="AI129" s="86"/>
    </row>
    <row r="130" spans="1:35" ht="15" thickTop="1" x14ac:dyDescent="0.35"/>
  </sheetData>
  <mergeCells count="55">
    <mergeCell ref="A124:B125"/>
    <mergeCell ref="A126:B127"/>
    <mergeCell ref="A91:B91"/>
    <mergeCell ref="A92:B92"/>
    <mergeCell ref="A119:D119"/>
    <mergeCell ref="A122:B123"/>
    <mergeCell ref="A102:C102"/>
    <mergeCell ref="A95:B95"/>
    <mergeCell ref="A100:E100"/>
    <mergeCell ref="A118:C118"/>
    <mergeCell ref="A103:C103"/>
    <mergeCell ref="A104:D104"/>
    <mergeCell ref="A105:D105"/>
    <mergeCell ref="A107:D107"/>
    <mergeCell ref="A108:D108"/>
    <mergeCell ref="A109:D109"/>
    <mergeCell ref="A1:C3"/>
    <mergeCell ref="D1:H3"/>
    <mergeCell ref="A51:B51"/>
    <mergeCell ref="A52:B52"/>
    <mergeCell ref="A54:B54"/>
    <mergeCell ref="A47:E47"/>
    <mergeCell ref="A7:E7"/>
    <mergeCell ref="A11:B11"/>
    <mergeCell ref="A12:B12"/>
    <mergeCell ref="A14:B14"/>
    <mergeCell ref="A19:E19"/>
    <mergeCell ref="A21:C21"/>
    <mergeCell ref="A22:D22"/>
    <mergeCell ref="A23:D23"/>
    <mergeCell ref="A25:D25"/>
    <mergeCell ref="A26:D26"/>
    <mergeCell ref="A27:D27"/>
    <mergeCell ref="A36:C36"/>
    <mergeCell ref="A98:B98"/>
    <mergeCell ref="A41:B42"/>
    <mergeCell ref="C41:D42"/>
    <mergeCell ref="A43:B44"/>
    <mergeCell ref="C43:D44"/>
    <mergeCell ref="A83:B84"/>
    <mergeCell ref="A67:D67"/>
    <mergeCell ref="A81:B82"/>
    <mergeCell ref="A37:D37"/>
    <mergeCell ref="A39:B40"/>
    <mergeCell ref="C39:D40"/>
    <mergeCell ref="A87:E87"/>
    <mergeCell ref="A76:C76"/>
    <mergeCell ref="A77:D77"/>
    <mergeCell ref="A57:B57"/>
    <mergeCell ref="A62:D62"/>
    <mergeCell ref="A63:D63"/>
    <mergeCell ref="A65:D65"/>
    <mergeCell ref="A66:D66"/>
    <mergeCell ref="A59:E59"/>
    <mergeCell ref="A61:C6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N186"/>
  <sheetViews>
    <sheetView topLeftCell="A110" zoomScale="70" zoomScaleNormal="70" workbookViewId="0">
      <selection activeCell="J120" sqref="J120"/>
    </sheetView>
  </sheetViews>
  <sheetFormatPr defaultRowHeight="14.5" x14ac:dyDescent="0.35"/>
  <cols>
    <col min="4" max="4" width="9.6328125" customWidth="1"/>
    <col min="5" max="40" width="10.6328125" customWidth="1"/>
  </cols>
  <sheetData>
    <row r="1" spans="1:170" ht="20" customHeight="1" x14ac:dyDescent="0.35">
      <c r="A1" s="349"/>
      <c r="B1" s="349"/>
      <c r="C1" s="349"/>
      <c r="D1" s="326" t="s">
        <v>72</v>
      </c>
      <c r="E1" s="326"/>
      <c r="F1" s="326"/>
      <c r="G1" s="326"/>
      <c r="H1" s="326"/>
      <c r="I1" s="1"/>
      <c r="J1" s="1"/>
      <c r="K1" s="1"/>
    </row>
    <row r="2" spans="1:170" ht="14.5" customHeight="1" x14ac:dyDescent="0.35">
      <c r="A2" s="349"/>
      <c r="B2" s="349"/>
      <c r="C2" s="349"/>
      <c r="D2" s="326"/>
      <c r="E2" s="326"/>
      <c r="F2" s="326"/>
      <c r="G2" s="326"/>
      <c r="H2" s="326"/>
      <c r="I2" s="1"/>
      <c r="J2" s="1"/>
      <c r="K2" s="1"/>
    </row>
    <row r="3" spans="1:170" ht="19" customHeight="1" x14ac:dyDescent="0.35">
      <c r="A3" s="349"/>
      <c r="B3" s="349"/>
      <c r="C3" s="349"/>
      <c r="D3" s="326"/>
      <c r="E3" s="326"/>
      <c r="F3" s="326"/>
      <c r="G3" s="326"/>
      <c r="H3" s="326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</row>
    <row r="4" spans="1:170" s="88" customFormat="1" ht="18" x14ac:dyDescent="0.35">
      <c r="A4" s="352" t="s">
        <v>148</v>
      </c>
      <c r="B4" s="352"/>
      <c r="C4" s="352"/>
      <c r="D4" s="352"/>
      <c r="E4" s="352"/>
      <c r="F4" s="352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</row>
    <row r="5" spans="1:170" x14ac:dyDescent="0.35">
      <c r="A5" s="5"/>
      <c r="B5" s="5"/>
      <c r="C5" s="5"/>
      <c r="D5" s="5"/>
      <c r="E5" s="6">
        <v>2015</v>
      </c>
      <c r="F5" s="6">
        <v>2016</v>
      </c>
      <c r="G5" s="6">
        <v>2017</v>
      </c>
      <c r="H5" s="6">
        <v>2018</v>
      </c>
      <c r="I5" s="6">
        <v>2019</v>
      </c>
      <c r="J5" s="6">
        <v>2020</v>
      </c>
      <c r="K5" s="6">
        <v>2021</v>
      </c>
      <c r="L5" s="7">
        <v>2022</v>
      </c>
      <c r="M5" s="270">
        <v>2023</v>
      </c>
      <c r="N5" s="7">
        <v>2024</v>
      </c>
      <c r="O5" s="7">
        <v>2025</v>
      </c>
      <c r="P5" s="7">
        <v>2026</v>
      </c>
      <c r="Q5" s="7">
        <v>2027</v>
      </c>
      <c r="R5" s="7">
        <v>2028</v>
      </c>
      <c r="S5" s="7">
        <v>2029</v>
      </c>
      <c r="T5" s="7">
        <v>2030</v>
      </c>
      <c r="U5" s="7">
        <v>2031</v>
      </c>
      <c r="V5" s="7">
        <v>2032</v>
      </c>
      <c r="W5" s="7">
        <v>2033</v>
      </c>
      <c r="X5" s="7">
        <v>2034</v>
      </c>
      <c r="Y5" s="7">
        <v>2035</v>
      </c>
      <c r="Z5" s="7">
        <v>2036</v>
      </c>
      <c r="AA5" s="7">
        <v>2037</v>
      </c>
      <c r="AB5" s="7">
        <v>2038</v>
      </c>
      <c r="AC5" s="7">
        <v>2039</v>
      </c>
      <c r="AD5" s="7">
        <v>2040</v>
      </c>
      <c r="AE5" s="7">
        <v>2041</v>
      </c>
      <c r="AF5" s="7">
        <v>2042</v>
      </c>
      <c r="AG5" s="7">
        <v>2043</v>
      </c>
      <c r="AH5" s="7">
        <v>2044</v>
      </c>
      <c r="AI5" s="7">
        <v>2045</v>
      </c>
      <c r="AJ5" s="7">
        <v>2046</v>
      </c>
      <c r="AK5" s="7">
        <v>2047</v>
      </c>
      <c r="AL5" s="7">
        <v>2048</v>
      </c>
      <c r="AM5" s="7">
        <v>2049</v>
      </c>
      <c r="AN5" s="7">
        <v>2050</v>
      </c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</row>
    <row r="6" spans="1:170" s="87" customFormat="1" ht="14" x14ac:dyDescent="0.3">
      <c r="A6" s="81" t="s">
        <v>8</v>
      </c>
      <c r="B6" s="81"/>
      <c r="C6" s="9"/>
      <c r="D6" s="9"/>
      <c r="E6" s="10">
        <f t="shared" ref="E6:J6" si="0">E14+E27+E30+E39+E42+E45</f>
        <v>34697318</v>
      </c>
      <c r="F6" s="10">
        <f t="shared" si="0"/>
        <v>38523506</v>
      </c>
      <c r="G6" s="10">
        <f t="shared" si="0"/>
        <v>39251629</v>
      </c>
      <c r="H6" s="10">
        <f t="shared" si="0"/>
        <v>40981146</v>
      </c>
      <c r="I6" s="10">
        <f t="shared" si="0"/>
        <v>46733173</v>
      </c>
      <c r="J6" s="10">
        <f t="shared" si="0"/>
        <v>47203579</v>
      </c>
      <c r="K6" s="10">
        <f>K14++K27+K30+K39+K42+K45</f>
        <v>53726491.740000002</v>
      </c>
      <c r="L6" s="10">
        <f>L14++L27+L30+L39+L42+L45</f>
        <v>54629269.792000003</v>
      </c>
      <c r="M6" s="271">
        <f>M14+M27+M30+M39+M42+M45</f>
        <v>75616970.862399995</v>
      </c>
      <c r="N6" s="10">
        <f>N14+N27+N30+N39+N42+N45</f>
        <v>75616970.902400002</v>
      </c>
      <c r="O6" s="10">
        <f t="shared" ref="O6:AN6" si="1">O14++O27+O30+O39+O42+O45</f>
        <v>75616970.902400002</v>
      </c>
      <c r="P6" s="10">
        <f t="shared" si="1"/>
        <v>75616970.902400002</v>
      </c>
      <c r="Q6" s="10">
        <f t="shared" si="1"/>
        <v>75616970.902400002</v>
      </c>
      <c r="R6" s="10">
        <f t="shared" si="1"/>
        <v>75616970.902400002</v>
      </c>
      <c r="S6" s="10">
        <f t="shared" si="1"/>
        <v>75616970.902400002</v>
      </c>
      <c r="T6" s="10">
        <f t="shared" si="1"/>
        <v>75616970.902400002</v>
      </c>
      <c r="U6" s="10">
        <f t="shared" si="1"/>
        <v>75616970.902400002</v>
      </c>
      <c r="V6" s="10">
        <f t="shared" si="1"/>
        <v>75616970.902400002</v>
      </c>
      <c r="W6" s="10">
        <f t="shared" si="1"/>
        <v>75616970.902400002</v>
      </c>
      <c r="X6" s="10">
        <f t="shared" si="1"/>
        <v>75616970.902400002</v>
      </c>
      <c r="Y6" s="10">
        <f t="shared" si="1"/>
        <v>75616970.902400002</v>
      </c>
      <c r="Z6" s="10">
        <f t="shared" si="1"/>
        <v>75616970.902400002</v>
      </c>
      <c r="AA6" s="10">
        <f t="shared" si="1"/>
        <v>75616970.902400002</v>
      </c>
      <c r="AB6" s="10">
        <f t="shared" si="1"/>
        <v>75616970.902400002</v>
      </c>
      <c r="AC6" s="10">
        <f t="shared" si="1"/>
        <v>75616970.902400002</v>
      </c>
      <c r="AD6" s="10">
        <f t="shared" si="1"/>
        <v>75616970.902400002</v>
      </c>
      <c r="AE6" s="10">
        <f t="shared" si="1"/>
        <v>75616970.902400002</v>
      </c>
      <c r="AF6" s="10">
        <f t="shared" si="1"/>
        <v>75616970.902400002</v>
      </c>
      <c r="AG6" s="10">
        <f t="shared" si="1"/>
        <v>75616970.902400002</v>
      </c>
      <c r="AH6" s="10">
        <f t="shared" si="1"/>
        <v>75616970.902400002</v>
      </c>
      <c r="AI6" s="10">
        <f t="shared" si="1"/>
        <v>75616970.902400002</v>
      </c>
      <c r="AJ6" s="10">
        <f t="shared" si="1"/>
        <v>75616970.902400002</v>
      </c>
      <c r="AK6" s="10">
        <f t="shared" si="1"/>
        <v>75616970.902400002</v>
      </c>
      <c r="AL6" s="10">
        <f t="shared" si="1"/>
        <v>75616970.902400002</v>
      </c>
      <c r="AM6" s="10">
        <f t="shared" si="1"/>
        <v>75616970.902400002</v>
      </c>
      <c r="AN6" s="10">
        <f t="shared" si="1"/>
        <v>75616970.902400002</v>
      </c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</row>
    <row r="7" spans="1:170" s="3" customFormat="1" ht="14" x14ac:dyDescent="0.3">
      <c r="A7" s="353" t="s">
        <v>152</v>
      </c>
      <c r="B7" s="353"/>
      <c r="C7" s="353"/>
      <c r="E7" s="58"/>
      <c r="F7" s="15">
        <f t="shared" ref="F7:AN7" si="2">(F6-E6)/E6</f>
        <v>0.11027330700315223</v>
      </c>
      <c r="G7" s="15">
        <f t="shared" si="2"/>
        <v>1.890074594975857E-2</v>
      </c>
      <c r="H7" s="15">
        <f t="shared" si="2"/>
        <v>4.4062298662814733E-2</v>
      </c>
      <c r="I7" s="15">
        <f t="shared" si="2"/>
        <v>0.14035788555058953</v>
      </c>
      <c r="J7" s="15">
        <f t="shared" si="2"/>
        <v>1.006578346392187E-2</v>
      </c>
      <c r="K7" s="15">
        <f t="shared" si="2"/>
        <v>0.13818682562184537</v>
      </c>
      <c r="L7" s="15">
        <f t="shared" si="2"/>
        <v>1.6803219841132346E-2</v>
      </c>
      <c r="M7" s="272">
        <f t="shared" si="2"/>
        <v>0.38418417727914539</v>
      </c>
      <c r="N7" s="15">
        <f t="shared" si="2"/>
        <v>5.2898186875666888E-10</v>
      </c>
      <c r="O7" s="15">
        <f t="shared" si="2"/>
        <v>0</v>
      </c>
      <c r="P7" s="15">
        <f t="shared" si="2"/>
        <v>0</v>
      </c>
      <c r="Q7" s="15">
        <f t="shared" si="2"/>
        <v>0</v>
      </c>
      <c r="R7" s="15">
        <f t="shared" si="2"/>
        <v>0</v>
      </c>
      <c r="S7" s="15">
        <f t="shared" si="2"/>
        <v>0</v>
      </c>
      <c r="T7" s="15">
        <f t="shared" si="2"/>
        <v>0</v>
      </c>
      <c r="U7" s="15">
        <f t="shared" si="2"/>
        <v>0</v>
      </c>
      <c r="V7" s="15">
        <f t="shared" si="2"/>
        <v>0</v>
      </c>
      <c r="W7" s="15">
        <f t="shared" si="2"/>
        <v>0</v>
      </c>
      <c r="X7" s="15">
        <f t="shared" si="2"/>
        <v>0</v>
      </c>
      <c r="Y7" s="15">
        <f t="shared" si="2"/>
        <v>0</v>
      </c>
      <c r="Z7" s="15">
        <f t="shared" si="2"/>
        <v>0</v>
      </c>
      <c r="AA7" s="15">
        <f t="shared" si="2"/>
        <v>0</v>
      </c>
      <c r="AB7" s="15">
        <f t="shared" si="2"/>
        <v>0</v>
      </c>
      <c r="AC7" s="15">
        <f t="shared" si="2"/>
        <v>0</v>
      </c>
      <c r="AD7" s="15">
        <f t="shared" si="2"/>
        <v>0</v>
      </c>
      <c r="AE7" s="15">
        <f t="shared" si="2"/>
        <v>0</v>
      </c>
      <c r="AF7" s="15">
        <f t="shared" si="2"/>
        <v>0</v>
      </c>
      <c r="AG7" s="15">
        <f t="shared" si="2"/>
        <v>0</v>
      </c>
      <c r="AH7" s="15">
        <f t="shared" si="2"/>
        <v>0</v>
      </c>
      <c r="AI7" s="15">
        <f t="shared" si="2"/>
        <v>0</v>
      </c>
      <c r="AJ7" s="15">
        <f t="shared" si="2"/>
        <v>0</v>
      </c>
      <c r="AK7" s="15">
        <f t="shared" si="2"/>
        <v>0</v>
      </c>
      <c r="AL7" s="15">
        <f t="shared" si="2"/>
        <v>0</v>
      </c>
      <c r="AM7" s="15">
        <f t="shared" si="2"/>
        <v>0</v>
      </c>
      <c r="AN7" s="15">
        <f t="shared" si="2"/>
        <v>0</v>
      </c>
    </row>
    <row r="8" spans="1:170" s="3" customFormat="1" ht="14" x14ac:dyDescent="0.3">
      <c r="A8" s="248"/>
      <c r="B8" s="248"/>
      <c r="C8" s="248"/>
      <c r="E8" s="58"/>
      <c r="F8" s="15"/>
      <c r="G8" s="15"/>
      <c r="H8" s="15"/>
      <c r="I8" s="15"/>
      <c r="J8" s="15"/>
      <c r="K8" s="15"/>
      <c r="L8" s="15"/>
      <c r="M8" s="272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</row>
    <row r="9" spans="1:170" s="3" customFormat="1" ht="14" x14ac:dyDescent="0.3">
      <c r="A9" s="253" t="s">
        <v>153</v>
      </c>
      <c r="B9" s="253"/>
      <c r="C9" s="253"/>
      <c r="D9" s="250" t="s">
        <v>154</v>
      </c>
      <c r="E9" s="254">
        <f>((E10*'[1]Status quo+Base Case'!B35)+(E11*'[1]Status quo+Base Case'!B54))+E12</f>
        <v>34697318</v>
      </c>
      <c r="F9" s="254">
        <f>((F10*'[1]Status quo+Base Case'!C35)+(F11*'[1]Status quo+Base Case'!C54))+F12</f>
        <v>38523506</v>
      </c>
      <c r="G9" s="254">
        <f>((G10*'[1]Status quo+Base Case'!D35)+(G11*'[1]Status quo+Base Case'!D54))+G12</f>
        <v>39251629</v>
      </c>
      <c r="H9" s="254">
        <f>((H10*'[1]Status quo+Base Case'!E35)+(H11*'[1]Status quo+Base Case'!E54))+H12</f>
        <v>40981146</v>
      </c>
      <c r="I9" s="254">
        <f>((I10*'[1]Status quo+Base Case'!F35)+(I11*'[1]Status quo+Base Case'!F54))+I12</f>
        <v>46733173</v>
      </c>
      <c r="J9" s="254">
        <f>((J10*'[1]Status quo+Base Case'!G35)+(J11*'[1]Status quo+Base Case'!G54))+J12</f>
        <v>47203579</v>
      </c>
      <c r="K9" s="254">
        <f>((K10*'[1]Status quo+Base Case'!H35)+(K11*'[1]Status quo+Base Case'!H54))+K12</f>
        <v>53726491.740000002</v>
      </c>
      <c r="L9" s="254">
        <f>((L10*'[1]Status quo+Base Case'!I35)+(L11*'[1]Status quo+Base Case'!I54))+L12</f>
        <v>54629269.792000003</v>
      </c>
      <c r="M9" s="273">
        <f>((M10*'[1]Status quo+Base Case'!J35)+(M11*'[1]Status quo+Base Case'!J54))+M12</f>
        <v>75616970.862399995</v>
      </c>
      <c r="N9" s="254">
        <f>((N10*'[1]Status quo+Base Case'!K35)+(N11*'[1]Status quo+Base Case'!K54))+N12</f>
        <v>75616970.902400002</v>
      </c>
      <c r="O9" s="254">
        <f>((O10*'[1]Status quo+Base Case'!L35)+(O11*'[1]Status quo+Base Case'!L54))+O12</f>
        <v>75616970.902400002</v>
      </c>
      <c r="P9" s="254">
        <f>((P10*'[1]Status quo+Base Case'!M35)+(P11*'[1]Status quo+Base Case'!M54))+P12</f>
        <v>75616970.902400002</v>
      </c>
      <c r="Q9" s="254">
        <f>((Q10*'[1]Status quo+Base Case'!N35)+(Q11*'[1]Status quo+Base Case'!N54))+Q12</f>
        <v>75616970.902400002</v>
      </c>
      <c r="R9" s="254">
        <f>((R10*'[1]Status quo+Base Case'!O35)+(R11*'[1]Status quo+Base Case'!O54))+R12</f>
        <v>75616970.902400002</v>
      </c>
      <c r="S9" s="254">
        <f>((S10*'[1]Status quo+Base Case'!P35)+(S11*'[1]Status quo+Base Case'!P54))+S12</f>
        <v>75616970.902400002</v>
      </c>
      <c r="T9" s="254">
        <f>((T10*'[1]Status quo+Base Case'!Q35)+(T11*'[1]Status quo+Base Case'!Q54))+T12</f>
        <v>75616970.902400002</v>
      </c>
      <c r="U9" s="254">
        <f>((U10*'[1]Status quo+Base Case'!R35)+(U11*'[1]Status quo+Base Case'!R54))+U12</f>
        <v>75616970.902400002</v>
      </c>
      <c r="V9" s="254">
        <f>((V10*'[1]Status quo+Base Case'!S35)+(V11*'[1]Status quo+Base Case'!S54))+V12</f>
        <v>75616970.902400002</v>
      </c>
      <c r="W9" s="254">
        <f>((W10*'[1]Status quo+Base Case'!T35)+(W11*'[1]Status quo+Base Case'!T54))+W12</f>
        <v>75616970.902400002</v>
      </c>
      <c r="X9" s="254">
        <f>((X10*'[1]Status quo+Base Case'!U35)+(X11*'[1]Status quo+Base Case'!U54))+X12</f>
        <v>75616970.902400002</v>
      </c>
      <c r="Y9" s="254">
        <f>((Y10*'[1]Status quo+Base Case'!V35)+(Y11*'[1]Status quo+Base Case'!V54))+Y12</f>
        <v>75616970.902400002</v>
      </c>
      <c r="Z9" s="254">
        <f>((Z10*'[1]Status quo+Base Case'!W35)+(Z11*'[1]Status quo+Base Case'!W54))+Z12</f>
        <v>75616970.902400002</v>
      </c>
      <c r="AA9" s="254">
        <f>((AA10*'[1]Status quo+Base Case'!X35)+(AA11*'[1]Status quo+Base Case'!X54))+AA12</f>
        <v>75616970.902400002</v>
      </c>
      <c r="AB9" s="254">
        <f>((AB10*'[1]Status quo+Base Case'!Y35)+(AB11*'[1]Status quo+Base Case'!Y54))+AB12</f>
        <v>75616970.902400002</v>
      </c>
      <c r="AC9" s="254">
        <f>((AC10*'[1]Status quo+Base Case'!Z35)+(AC11*'[1]Status quo+Base Case'!Z54))+AC12</f>
        <v>75616970.902400002</v>
      </c>
      <c r="AD9" s="254">
        <f>((AD10*'[1]Status quo+Base Case'!AA35)+(AD11*'[1]Status quo+Base Case'!AA54))+AD12</f>
        <v>75616970.902400002</v>
      </c>
      <c r="AE9" s="254">
        <f>((AE10*'[1]Status quo+Base Case'!AB35)+(AE11*'[1]Status quo+Base Case'!AB54))+AE12</f>
        <v>75616970.902400002</v>
      </c>
      <c r="AF9" s="254">
        <f>((AF10*'[1]Status quo+Base Case'!AC35)+(AF11*'[1]Status quo+Base Case'!AC54))+AF12</f>
        <v>75616970.902400002</v>
      </c>
      <c r="AG9" s="254">
        <f>((AG10*'[1]Status quo+Base Case'!AD35)+(AG11*'[1]Status quo+Base Case'!AD54))+AG12</f>
        <v>75616970.902400002</v>
      </c>
      <c r="AH9" s="254">
        <f>((AH10*'[1]Status quo+Base Case'!AE35)+(AH11*'[1]Status quo+Base Case'!AE54))+AH12</f>
        <v>75616970.902400002</v>
      </c>
      <c r="AI9" s="254">
        <f>((AI10*'[1]Status quo+Base Case'!AF35)+(AI11*'[1]Status quo+Base Case'!AF54))+AI12</f>
        <v>75616970.902400002</v>
      </c>
      <c r="AJ9" s="254">
        <f>((AJ10*'[1]Status quo+Base Case'!AG35)+(AJ11*'[1]Status quo+Base Case'!AG54))+AJ12</f>
        <v>75616970.902400002</v>
      </c>
      <c r="AK9" s="254">
        <f>((AK10*'[1]Status quo+Base Case'!AH35)+(AK11*'[1]Status quo+Base Case'!AH54))+AK12</f>
        <v>75616970.902400002</v>
      </c>
      <c r="AL9" s="254">
        <f>((AL10*'[1]Status quo+Base Case'!AI35)+(AL11*'[1]Status quo+Base Case'!AI54))+AL12</f>
        <v>75616970.902400002</v>
      </c>
      <c r="AM9" s="254">
        <f>((AM10*'[1]Status quo+Base Case'!AJ35)+(AM11*'[1]Status quo+Base Case'!AJ54))+AM12</f>
        <v>75616970.902400002</v>
      </c>
      <c r="AN9" s="254">
        <f>((AN10*'[1]Status quo+Base Case'!AK35)+(AN11*'[1]Status quo+Base Case'!AK54))+AN12</f>
        <v>75616970.902400002</v>
      </c>
    </row>
    <row r="10" spans="1:170" s="3" customFormat="1" ht="14" x14ac:dyDescent="0.3">
      <c r="A10" s="248"/>
      <c r="B10" s="248"/>
      <c r="C10" s="248"/>
      <c r="D10" s="250" t="s">
        <v>155</v>
      </c>
      <c r="E10" s="249">
        <f>(E6*0.54)/'[1]Status quo+Base Case'!B35</f>
        <v>866.3500124843946</v>
      </c>
      <c r="F10" s="249">
        <f>(F6*0.54)/'[1]Status quo+Base Case'!C35</f>
        <v>947.68772447724484</v>
      </c>
      <c r="G10" s="249">
        <f>(G6*0.54)/'[1]Status quo+Base Case'!D35</f>
        <v>729.35823474759991</v>
      </c>
      <c r="H10" s="249">
        <f>(H6*0.54)/'[1]Status quo+Base Case'!E35</f>
        <v>802.61928188016827</v>
      </c>
      <c r="I10" s="249">
        <f>(I6*0.54)/'[1]Status quo+Base Case'!F35</f>
        <v>942.60578653469054</v>
      </c>
      <c r="J10" s="249">
        <f>(J6*0.54)/'[1]Status quo+Base Case'!G35</f>
        <v>1575.8845539412673</v>
      </c>
      <c r="K10" s="249">
        <f>(K6*0.54)/'[1]Status quo+Base Case'!H35</f>
        <v>2006.9386787216383</v>
      </c>
      <c r="L10" s="249">
        <f>(L6*0.54)/'[1]Status quo+Base Case'!I35</f>
        <v>1857.5768026598159</v>
      </c>
      <c r="M10" s="274">
        <f>(M6*0.54)/'[1]Status quo+Base Case'!J35</f>
        <v>2263.6739183823347</v>
      </c>
      <c r="N10" s="249">
        <f>(N6*0.54)/'[1]Status quo+Base Case'!K35</f>
        <v>2144.4999302204496</v>
      </c>
      <c r="O10" s="249">
        <f>(O6*0.54)/'[1]Status quo+Base Case'!L35</f>
        <v>2071.086624029529</v>
      </c>
      <c r="P10" s="249">
        <f>(P6*0.54)/'[1]Status quo+Base Case'!M35</f>
        <v>2020.4510153943856</v>
      </c>
      <c r="Q10" s="249">
        <f>(Q6*0.54)/'[1]Status quo+Base Case'!N35</f>
        <v>1971.4480526099128</v>
      </c>
      <c r="R10" s="249">
        <f>(R6*0.54)/'[1]Status quo+Base Case'!O35</f>
        <v>1952.8955449330492</v>
      </c>
      <c r="S10" s="249">
        <f>(S6*0.54)/'[1]Status quo+Base Case'!P35</f>
        <v>1935.135187526806</v>
      </c>
      <c r="T10" s="249">
        <f>(T6*0.54)/'[1]Status quo+Base Case'!Q35</f>
        <v>1917.8743186588763</v>
      </c>
      <c r="U10" s="249">
        <f>(U6*0.54)/'[1]Status quo+Base Case'!R35</f>
        <v>1915.3843190441194</v>
      </c>
      <c r="V10" s="249">
        <f>(V6*0.54)/'[1]Status quo+Base Case'!S35</f>
        <v>1913.2797113616209</v>
      </c>
      <c r="W10" s="249">
        <f>(W6*0.54)/'[1]Status quo+Base Case'!T35</f>
        <v>1911.559307984435</v>
      </c>
      <c r="X10" s="249">
        <f>(X6*0.54)/'[1]Status quo+Base Case'!U35</f>
        <v>1910.222152477701</v>
      </c>
      <c r="Y10" s="249">
        <f>(Y6*0.54)/'[1]Status quo+Base Case'!V35</f>
        <v>1909.0767064538288</v>
      </c>
      <c r="Z10" s="249">
        <f>(Z6*0.54)/'[1]Status quo+Base Case'!W35</f>
        <v>1908.1226451312637</v>
      </c>
      <c r="AA10" s="249">
        <f>(AA6*0.54)/'[1]Status quo+Base Case'!X35</f>
        <v>1907.3597012507628</v>
      </c>
      <c r="AB10" s="249">
        <f>(AB6*0.54)/'[1]Status quo+Base Case'!Y35</f>
        <v>1906.5970624257923</v>
      </c>
      <c r="AC10" s="249">
        <f>(AC6*0.54)/'[1]Status quo+Base Case'!Z35</f>
        <v>1906.0252548493372</v>
      </c>
      <c r="AD10" s="249">
        <f>(AD6*0.54)/'[1]Status quo+Base Case'!AA35</f>
        <v>1905.4536187637088</v>
      </c>
      <c r="AE10" s="249">
        <f>(AE6*0.54)/'[1]Status quo+Base Case'!AB35</f>
        <v>1919.2723798989814</v>
      </c>
      <c r="AF10" s="249">
        <f>(AF6*0.54)/'[1]Status quo+Base Case'!AC35</f>
        <v>1933.386098417428</v>
      </c>
      <c r="AG10" s="249">
        <f>(AG6*0.54)/'[1]Status quo+Base Case'!AD35</f>
        <v>1947.6036047319719</v>
      </c>
      <c r="AH10" s="249">
        <f>(AH6*0.54)/'[1]Status quo+Base Case'!AE35</f>
        <v>1961.9256620650469</v>
      </c>
      <c r="AI10" s="249">
        <f>(AI6*0.54)/'[1]Status quo+Base Case'!AF35</f>
        <v>1976.3530392515831</v>
      </c>
      <c r="AJ10" s="249">
        <f>(AJ6*0.54)/'[1]Status quo+Base Case'!AG35</f>
        <v>1990.8865107802792</v>
      </c>
      <c r="AK10" s="249">
        <f>(AK6*0.54)/'[1]Status quo+Base Case'!AH35</f>
        <v>2005.5268568351755</v>
      </c>
      <c r="AL10" s="249">
        <f>(AL6*0.54)/'[1]Status quo+Base Case'!AI35</f>
        <v>2020.2748633375397</v>
      </c>
      <c r="AM10" s="249">
        <f>(AM6*0.54)/'[1]Status quo+Base Case'!AJ35</f>
        <v>2035.1313219880528</v>
      </c>
      <c r="AN10" s="249">
        <f>(AN6*0.54)/'[1]Status quo+Base Case'!AK35</f>
        <v>2049.8905338316408</v>
      </c>
    </row>
    <row r="11" spans="1:170" s="3" customFormat="1" ht="14" x14ac:dyDescent="0.3">
      <c r="A11" s="248"/>
      <c r="B11" s="248"/>
      <c r="C11" s="248"/>
      <c r="D11" s="250" t="s">
        <v>156</v>
      </c>
      <c r="E11" s="249">
        <f>(E6*0.16)/'[1]Status quo+Base Case'!B54</f>
        <v>480.32279633154525</v>
      </c>
      <c r="F11" s="249">
        <f>(F6*0.16)/'[1]Status quo+Base Case'!C54</f>
        <v>488.21868990099011</v>
      </c>
      <c r="G11" s="249">
        <f>(G6*0.16)/'[1]Status quo+Base Case'!D54</f>
        <v>651.61450923428106</v>
      </c>
      <c r="H11" s="249">
        <f>(H6*0.16)/'[1]Status quo+Base Case'!E54</f>
        <v>633.95372329111478</v>
      </c>
      <c r="I11" s="249">
        <f>(I6*0.16)/'[1]Status quo+Base Case'!F54</f>
        <v>623.83678291339891</v>
      </c>
      <c r="J11" s="249">
        <f>(J6*0.16)/'[1]Status quo+Base Case'!G54</f>
        <v>842.45093586168434</v>
      </c>
      <c r="K11" s="249">
        <f>(K6*0.16)/'[1]Status quo+Base Case'!H54</f>
        <v>916.54106817357933</v>
      </c>
      <c r="L11" s="249">
        <f>(L6*0.16)/'[1]Status quo+Base Case'!I54</f>
        <v>686.06034086213958</v>
      </c>
      <c r="M11" s="274">
        <f>(M6*0.16)/'[1]Status quo+Base Case'!J54</f>
        <v>931.01359654912801</v>
      </c>
      <c r="N11" s="249">
        <f>(N6*0.16)/'[1]Status quo+Base Case'!K54</f>
        <v>912.75842847217382</v>
      </c>
      <c r="O11" s="249">
        <f>(O6*0.16)/'[1]Status quo+Base Case'!L54</f>
        <v>894.86120438448404</v>
      </c>
      <c r="P11" s="249">
        <f>(P6*0.16)/'[1]Status quo+Base Case'!M54</f>
        <v>877.31490625929791</v>
      </c>
      <c r="Q11" s="249">
        <f>(Q6*0.16)/'[1]Status quo+Base Case'!N54</f>
        <v>860.11265319538995</v>
      </c>
      <c r="R11" s="249">
        <f>(R6*0.16)/'[1]Status quo+Base Case'!O54</f>
        <v>843.2476992111666</v>
      </c>
      <c r="S11" s="249">
        <f>(S6*0.16)/'[1]Status quo+Base Case'!P54</f>
        <v>830.7859105528737</v>
      </c>
      <c r="T11" s="249">
        <f>(T6*0.16)/'[1]Status quo+Base Case'!Q54</f>
        <v>818.50828625898885</v>
      </c>
      <c r="U11" s="249">
        <f>(U6*0.16)/'[1]Status quo+Base Case'!R54</f>
        <v>806.41210468865904</v>
      </c>
      <c r="V11" s="249">
        <f>(V6*0.16)/'[1]Status quo+Base Case'!S54</f>
        <v>794.49468442232444</v>
      </c>
      <c r="W11" s="249">
        <f>(W6*0.16)/'[1]Status quo+Base Case'!T54</f>
        <v>782.75338366731467</v>
      </c>
      <c r="X11" s="249">
        <f>(X6*0.16)/'[1]Status quo+Base Case'!U54</f>
        <v>771.18559967223132</v>
      </c>
      <c r="Y11" s="249">
        <f>(Y6*0.16)/'[1]Status quo+Base Case'!V54</f>
        <v>759.78876814998159</v>
      </c>
      <c r="Z11" s="249">
        <f>(Z6*0.16)/'[1]Status quo+Base Case'!W54</f>
        <v>752.26610707918985</v>
      </c>
      <c r="AA11" s="249">
        <f>(AA6*0.16)/'[1]Status quo+Base Case'!X54</f>
        <v>744.81792780117792</v>
      </c>
      <c r="AB11" s="249">
        <f>(AB6*0.16)/'[1]Status quo+Base Case'!Y54</f>
        <v>737.44349287245336</v>
      </c>
      <c r="AC11" s="249">
        <f>(AC6*0.16)/'[1]Status quo+Base Case'!Z54</f>
        <v>730.14207215094405</v>
      </c>
      <c r="AD11" s="249">
        <f>(AD6*0.16)/'[1]Status quo+Base Case'!AA54</f>
        <v>722.91294272370703</v>
      </c>
      <c r="AE11" s="249">
        <f>(AE6*0.16)/'[1]Status quo+Base Case'!AB54</f>
        <v>715.75538883535341</v>
      </c>
      <c r="AF11" s="249">
        <f>(AF6*0.16)/'[1]Status quo+Base Case'!AC54</f>
        <v>708.66870181718161</v>
      </c>
      <c r="AG11" s="249">
        <f>(AG6*0.16)/'[1]Status quo+Base Case'!AD54</f>
        <v>701.65218001701157</v>
      </c>
      <c r="AH11" s="249">
        <f>(AH6*0.16)/'[1]Status quo+Base Case'!AE54</f>
        <v>694.70512872971437</v>
      </c>
      <c r="AI11" s="249">
        <f>(AI6*0.16)/'[1]Status quo+Base Case'!AF54</f>
        <v>694.70512872971437</v>
      </c>
      <c r="AJ11" s="249">
        <f>(AJ6*0.16)/'[1]Status quo+Base Case'!AG54</f>
        <v>694.70512872971437</v>
      </c>
      <c r="AK11" s="249">
        <f>(AK6*0.16)/'[1]Status quo+Base Case'!AH54</f>
        <v>694.70512872971437</v>
      </c>
      <c r="AL11" s="249">
        <f>(AL6*0.16)/'[1]Status quo+Base Case'!AI54</f>
        <v>694.70512872971437</v>
      </c>
      <c r="AM11" s="249">
        <f>(AM6*0.16)/'[1]Status quo+Base Case'!AJ54</f>
        <v>694.70512872971437</v>
      </c>
      <c r="AN11" s="249">
        <f>(AN6*0.16)/'[1]Status quo+Base Case'!AK54</f>
        <v>694.70512872971437</v>
      </c>
    </row>
    <row r="12" spans="1:170" s="3" customFormat="1" ht="14" x14ac:dyDescent="0.3">
      <c r="A12" s="248"/>
      <c r="B12" s="248"/>
      <c r="C12" s="248"/>
      <c r="D12" s="252" t="s">
        <v>157</v>
      </c>
      <c r="E12" s="251">
        <f t="shared" ref="E12:L12" si="3">E6*0.3</f>
        <v>10409195.4</v>
      </c>
      <c r="F12" s="251">
        <f t="shared" si="3"/>
        <v>11557051.799999999</v>
      </c>
      <c r="G12" s="251">
        <f t="shared" si="3"/>
        <v>11775488.699999999</v>
      </c>
      <c r="H12" s="251">
        <f t="shared" si="3"/>
        <v>12294343.799999999</v>
      </c>
      <c r="I12" s="251">
        <f t="shared" si="3"/>
        <v>14019951.9</v>
      </c>
      <c r="J12" s="251">
        <f t="shared" si="3"/>
        <v>14161073.699999999</v>
      </c>
      <c r="K12" s="251">
        <f t="shared" si="3"/>
        <v>16117947.522</v>
      </c>
      <c r="L12" s="251">
        <f t="shared" si="3"/>
        <v>16388780.9376</v>
      </c>
      <c r="M12" s="275">
        <f>M6*0.3</f>
        <v>22685091.258719999</v>
      </c>
      <c r="N12" s="251">
        <f t="shared" ref="N12:AN12" si="4">N6*0.3</f>
        <v>22685091.270720001</v>
      </c>
      <c r="O12" s="251">
        <f t="shared" si="4"/>
        <v>22685091.270720001</v>
      </c>
      <c r="P12" s="251">
        <f t="shared" si="4"/>
        <v>22685091.270720001</v>
      </c>
      <c r="Q12" s="251">
        <f t="shared" si="4"/>
        <v>22685091.270720001</v>
      </c>
      <c r="R12" s="251">
        <f t="shared" si="4"/>
        <v>22685091.270720001</v>
      </c>
      <c r="S12" s="251">
        <f t="shared" si="4"/>
        <v>22685091.270720001</v>
      </c>
      <c r="T12" s="251">
        <f t="shared" si="4"/>
        <v>22685091.270720001</v>
      </c>
      <c r="U12" s="251">
        <f t="shared" si="4"/>
        <v>22685091.270720001</v>
      </c>
      <c r="V12" s="251">
        <f t="shared" si="4"/>
        <v>22685091.270720001</v>
      </c>
      <c r="W12" s="251">
        <f t="shared" si="4"/>
        <v>22685091.270720001</v>
      </c>
      <c r="X12" s="251">
        <f t="shared" si="4"/>
        <v>22685091.270720001</v>
      </c>
      <c r="Y12" s="251">
        <f t="shared" si="4"/>
        <v>22685091.270720001</v>
      </c>
      <c r="Z12" s="251">
        <f t="shared" si="4"/>
        <v>22685091.270720001</v>
      </c>
      <c r="AA12" s="251">
        <f t="shared" si="4"/>
        <v>22685091.270720001</v>
      </c>
      <c r="AB12" s="251">
        <f t="shared" si="4"/>
        <v>22685091.270720001</v>
      </c>
      <c r="AC12" s="251">
        <f t="shared" si="4"/>
        <v>22685091.270720001</v>
      </c>
      <c r="AD12" s="251">
        <f t="shared" si="4"/>
        <v>22685091.270720001</v>
      </c>
      <c r="AE12" s="251">
        <f t="shared" si="4"/>
        <v>22685091.270720001</v>
      </c>
      <c r="AF12" s="251">
        <f t="shared" si="4"/>
        <v>22685091.270720001</v>
      </c>
      <c r="AG12" s="251">
        <f t="shared" si="4"/>
        <v>22685091.270720001</v>
      </c>
      <c r="AH12" s="251">
        <f t="shared" si="4"/>
        <v>22685091.270720001</v>
      </c>
      <c r="AI12" s="251">
        <f t="shared" si="4"/>
        <v>22685091.270720001</v>
      </c>
      <c r="AJ12" s="251">
        <f t="shared" si="4"/>
        <v>22685091.270720001</v>
      </c>
      <c r="AK12" s="251">
        <f t="shared" si="4"/>
        <v>22685091.270720001</v>
      </c>
      <c r="AL12" s="251">
        <f t="shared" si="4"/>
        <v>22685091.270720001</v>
      </c>
      <c r="AM12" s="251">
        <f t="shared" si="4"/>
        <v>22685091.270720001</v>
      </c>
      <c r="AN12" s="251">
        <f t="shared" si="4"/>
        <v>22685091.270720001</v>
      </c>
    </row>
    <row r="13" spans="1:170" s="3" customFormat="1" ht="14" x14ac:dyDescent="0.3">
      <c r="A13" s="248"/>
      <c r="B13" s="248"/>
      <c r="C13" s="248"/>
      <c r="E13" s="58"/>
      <c r="F13" s="15"/>
      <c r="G13" s="15"/>
      <c r="H13" s="15"/>
      <c r="I13" s="15"/>
      <c r="J13" s="15"/>
      <c r="K13" s="15"/>
      <c r="L13" s="15"/>
      <c r="M13" s="272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</row>
    <row r="14" spans="1:170" s="1" customFormat="1" ht="14" x14ac:dyDescent="0.3">
      <c r="A14" s="1" t="s">
        <v>9</v>
      </c>
      <c r="E14" s="17">
        <v>8235933</v>
      </c>
      <c r="F14" s="17">
        <v>9569309</v>
      </c>
      <c r="G14" s="17">
        <v>9869394</v>
      </c>
      <c r="H14" s="17">
        <v>9515445</v>
      </c>
      <c r="I14" s="17">
        <v>10618026</v>
      </c>
      <c r="J14" s="17">
        <v>8684693</v>
      </c>
      <c r="K14" s="17">
        <v>10973194</v>
      </c>
      <c r="L14" s="17">
        <f>SUM(L17:L25)</f>
        <v>9330994.7920000013</v>
      </c>
      <c r="M14" s="18">
        <f t="shared" ref="M14:AN14" si="5">SUM(M17:M25)</f>
        <v>13980306.9024</v>
      </c>
      <c r="N14" s="17">
        <f t="shared" si="5"/>
        <v>13980306.9024</v>
      </c>
      <c r="O14" s="17">
        <f t="shared" si="5"/>
        <v>13980306.9024</v>
      </c>
      <c r="P14" s="17">
        <f t="shared" si="5"/>
        <v>13980306.9024</v>
      </c>
      <c r="Q14" s="17">
        <f t="shared" si="5"/>
        <v>13980306.9024</v>
      </c>
      <c r="R14" s="17">
        <f t="shared" si="5"/>
        <v>13980306.9024</v>
      </c>
      <c r="S14" s="17">
        <f t="shared" si="5"/>
        <v>13980306.9024</v>
      </c>
      <c r="T14" s="17">
        <f t="shared" si="5"/>
        <v>13980306.9024</v>
      </c>
      <c r="U14" s="17">
        <f t="shared" si="5"/>
        <v>13980306.9024</v>
      </c>
      <c r="V14" s="17">
        <f t="shared" si="5"/>
        <v>13980306.9024</v>
      </c>
      <c r="W14" s="17">
        <f t="shared" si="5"/>
        <v>13980306.9024</v>
      </c>
      <c r="X14" s="17">
        <f t="shared" si="5"/>
        <v>13980306.9024</v>
      </c>
      <c r="Y14" s="17">
        <f t="shared" si="5"/>
        <v>13980306.9024</v>
      </c>
      <c r="Z14" s="17">
        <f t="shared" si="5"/>
        <v>13980306.9024</v>
      </c>
      <c r="AA14" s="17">
        <f t="shared" si="5"/>
        <v>13980306.9024</v>
      </c>
      <c r="AB14" s="17">
        <f t="shared" si="5"/>
        <v>13980306.9024</v>
      </c>
      <c r="AC14" s="17">
        <f t="shared" si="5"/>
        <v>13980306.9024</v>
      </c>
      <c r="AD14" s="17">
        <f t="shared" si="5"/>
        <v>13980306.9024</v>
      </c>
      <c r="AE14" s="17">
        <f t="shared" si="5"/>
        <v>13980306.9024</v>
      </c>
      <c r="AF14" s="17">
        <f t="shared" si="5"/>
        <v>13980306.9024</v>
      </c>
      <c r="AG14" s="17">
        <f t="shared" si="5"/>
        <v>13980306.9024</v>
      </c>
      <c r="AH14" s="17">
        <f t="shared" si="5"/>
        <v>13980306.9024</v>
      </c>
      <c r="AI14" s="17">
        <f t="shared" si="5"/>
        <v>13980306.9024</v>
      </c>
      <c r="AJ14" s="17">
        <f t="shared" si="5"/>
        <v>13980306.9024</v>
      </c>
      <c r="AK14" s="17">
        <f t="shared" si="5"/>
        <v>13980306.9024</v>
      </c>
      <c r="AL14" s="17">
        <f t="shared" si="5"/>
        <v>13980306.9024</v>
      </c>
      <c r="AM14" s="17">
        <f t="shared" si="5"/>
        <v>13980306.9024</v>
      </c>
      <c r="AN14" s="17">
        <f t="shared" si="5"/>
        <v>13980306.9024</v>
      </c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</row>
    <row r="15" spans="1:170" s="1" customFormat="1" ht="14" x14ac:dyDescent="0.3">
      <c r="A15" s="19" t="s">
        <v>10</v>
      </c>
      <c r="B15" s="19"/>
      <c r="C15" s="20"/>
      <c r="E15" s="21">
        <f t="shared" ref="E15:AN15" si="6">E14/E6</f>
        <v>0.23736511853740397</v>
      </c>
      <c r="F15" s="21">
        <f t="shared" si="6"/>
        <v>0.2484018199174291</v>
      </c>
      <c r="G15" s="21">
        <f t="shared" si="6"/>
        <v>0.25143909313929363</v>
      </c>
      <c r="H15" s="21">
        <f t="shared" si="6"/>
        <v>0.23219079817826471</v>
      </c>
      <c r="I15" s="21">
        <f t="shared" si="6"/>
        <v>0.22720533014096861</v>
      </c>
      <c r="J15" s="21">
        <f t="shared" si="6"/>
        <v>0.18398378224668091</v>
      </c>
      <c r="K15" s="21">
        <f t="shared" si="6"/>
        <v>0.20424177430201215</v>
      </c>
      <c r="L15" s="21">
        <f t="shared" si="6"/>
        <v>0.17080577550327145</v>
      </c>
      <c r="M15" s="265">
        <f t="shared" si="6"/>
        <v>0.18488319147086607</v>
      </c>
      <c r="N15" s="21">
        <f t="shared" si="6"/>
        <v>0.18488319137306622</v>
      </c>
      <c r="O15" s="21">
        <f t="shared" si="6"/>
        <v>0.18488319137306622</v>
      </c>
      <c r="P15" s="21">
        <f t="shared" si="6"/>
        <v>0.18488319137306622</v>
      </c>
      <c r="Q15" s="21">
        <f t="shared" si="6"/>
        <v>0.18488319137306622</v>
      </c>
      <c r="R15" s="21">
        <f t="shared" si="6"/>
        <v>0.18488319137306622</v>
      </c>
      <c r="S15" s="21">
        <f t="shared" si="6"/>
        <v>0.18488319137306622</v>
      </c>
      <c r="T15" s="21">
        <f t="shared" si="6"/>
        <v>0.18488319137306622</v>
      </c>
      <c r="U15" s="21">
        <f t="shared" si="6"/>
        <v>0.18488319137306622</v>
      </c>
      <c r="V15" s="21">
        <f t="shared" si="6"/>
        <v>0.18488319137306622</v>
      </c>
      <c r="W15" s="21">
        <f t="shared" si="6"/>
        <v>0.18488319137306622</v>
      </c>
      <c r="X15" s="21">
        <f t="shared" si="6"/>
        <v>0.18488319137306622</v>
      </c>
      <c r="Y15" s="21">
        <f t="shared" si="6"/>
        <v>0.18488319137306622</v>
      </c>
      <c r="Z15" s="21">
        <f t="shared" si="6"/>
        <v>0.18488319137306622</v>
      </c>
      <c r="AA15" s="21">
        <f t="shared" si="6"/>
        <v>0.18488319137306622</v>
      </c>
      <c r="AB15" s="21">
        <f t="shared" si="6"/>
        <v>0.18488319137306622</v>
      </c>
      <c r="AC15" s="21">
        <f t="shared" si="6"/>
        <v>0.18488319137306622</v>
      </c>
      <c r="AD15" s="21">
        <f t="shared" si="6"/>
        <v>0.18488319137306622</v>
      </c>
      <c r="AE15" s="21">
        <f t="shared" si="6"/>
        <v>0.18488319137306622</v>
      </c>
      <c r="AF15" s="21">
        <f t="shared" si="6"/>
        <v>0.18488319137306622</v>
      </c>
      <c r="AG15" s="21">
        <f t="shared" si="6"/>
        <v>0.18488319137306622</v>
      </c>
      <c r="AH15" s="21">
        <f t="shared" si="6"/>
        <v>0.18488319137306622</v>
      </c>
      <c r="AI15" s="21">
        <f t="shared" si="6"/>
        <v>0.18488319137306622</v>
      </c>
      <c r="AJ15" s="21">
        <f t="shared" si="6"/>
        <v>0.18488319137306622</v>
      </c>
      <c r="AK15" s="21">
        <f t="shared" si="6"/>
        <v>0.18488319137306622</v>
      </c>
      <c r="AL15" s="21">
        <f t="shared" si="6"/>
        <v>0.18488319137306622</v>
      </c>
      <c r="AM15" s="21">
        <f t="shared" si="6"/>
        <v>0.18488319137306622</v>
      </c>
      <c r="AN15" s="21">
        <f t="shared" si="6"/>
        <v>0.18488319137306622</v>
      </c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</row>
    <row r="16" spans="1:170" s="1" customFormat="1" ht="14" x14ac:dyDescent="0.3">
      <c r="A16" s="19"/>
      <c r="B16" s="19"/>
      <c r="C16" s="20"/>
      <c r="E16" s="21"/>
      <c r="F16" s="21"/>
      <c r="G16" s="21"/>
      <c r="H16" s="21"/>
      <c r="I16" s="21"/>
      <c r="J16" s="22"/>
      <c r="K16" s="21"/>
      <c r="M16" s="266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</row>
    <row r="17" spans="1:170" s="24" customFormat="1" ht="11.5" x14ac:dyDescent="0.25">
      <c r="A17" s="23" t="s">
        <v>11</v>
      </c>
      <c r="E17" s="65">
        <v>64520.94</v>
      </c>
      <c r="F17" s="65">
        <v>67715.38</v>
      </c>
      <c r="G17" s="65">
        <v>67658.850000000006</v>
      </c>
      <c r="H17" s="66">
        <v>69189.039999999994</v>
      </c>
      <c r="I17" s="67">
        <v>67876.55</v>
      </c>
      <c r="J17" s="28">
        <v>56157</v>
      </c>
      <c r="K17" s="28">
        <v>58763</v>
      </c>
      <c r="L17" s="28">
        <f>70504.31/10*12</f>
        <v>84605.171999999991</v>
      </c>
      <c r="M17" s="267">
        <f>L17*1.15</f>
        <v>97295.94779999998</v>
      </c>
      <c r="N17" s="28">
        <f t="shared" ref="N17:W17" si="7">M17</f>
        <v>97295.94779999998</v>
      </c>
      <c r="O17" s="28">
        <f t="shared" si="7"/>
        <v>97295.94779999998</v>
      </c>
      <c r="P17" s="28">
        <f t="shared" si="7"/>
        <v>97295.94779999998</v>
      </c>
      <c r="Q17" s="28">
        <f t="shared" si="7"/>
        <v>97295.94779999998</v>
      </c>
      <c r="R17" s="28">
        <f t="shared" si="7"/>
        <v>97295.94779999998</v>
      </c>
      <c r="S17" s="28">
        <f t="shared" si="7"/>
        <v>97295.94779999998</v>
      </c>
      <c r="T17" s="28">
        <f t="shared" si="7"/>
        <v>97295.94779999998</v>
      </c>
      <c r="U17" s="28">
        <f t="shared" si="7"/>
        <v>97295.94779999998</v>
      </c>
      <c r="V17" s="28">
        <f t="shared" si="7"/>
        <v>97295.94779999998</v>
      </c>
      <c r="W17" s="28">
        <f t="shared" si="7"/>
        <v>97295.94779999998</v>
      </c>
      <c r="X17" s="28">
        <f t="shared" ref="X17:AN17" si="8">W17</f>
        <v>97295.94779999998</v>
      </c>
      <c r="Y17" s="28">
        <f t="shared" si="8"/>
        <v>97295.94779999998</v>
      </c>
      <c r="Z17" s="28">
        <f t="shared" si="8"/>
        <v>97295.94779999998</v>
      </c>
      <c r="AA17" s="28">
        <f t="shared" si="8"/>
        <v>97295.94779999998</v>
      </c>
      <c r="AB17" s="28">
        <f t="shared" si="8"/>
        <v>97295.94779999998</v>
      </c>
      <c r="AC17" s="28">
        <f t="shared" si="8"/>
        <v>97295.94779999998</v>
      </c>
      <c r="AD17" s="28">
        <f t="shared" si="8"/>
        <v>97295.94779999998</v>
      </c>
      <c r="AE17" s="28">
        <f t="shared" si="8"/>
        <v>97295.94779999998</v>
      </c>
      <c r="AF17" s="28">
        <f t="shared" si="8"/>
        <v>97295.94779999998</v>
      </c>
      <c r="AG17" s="28">
        <f t="shared" si="8"/>
        <v>97295.94779999998</v>
      </c>
      <c r="AH17" s="28">
        <f t="shared" si="8"/>
        <v>97295.94779999998</v>
      </c>
      <c r="AI17" s="28">
        <f t="shared" si="8"/>
        <v>97295.94779999998</v>
      </c>
      <c r="AJ17" s="28">
        <f t="shared" si="8"/>
        <v>97295.94779999998</v>
      </c>
      <c r="AK17" s="28">
        <f t="shared" si="8"/>
        <v>97295.94779999998</v>
      </c>
      <c r="AL17" s="28">
        <f t="shared" si="8"/>
        <v>97295.94779999998</v>
      </c>
      <c r="AM17" s="28">
        <f t="shared" si="8"/>
        <v>97295.94779999998</v>
      </c>
      <c r="AN17" s="28">
        <f t="shared" si="8"/>
        <v>97295.94779999998</v>
      </c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8"/>
      <c r="DQ17" s="68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8"/>
      <c r="EF17" s="68"/>
      <c r="EG17" s="68"/>
      <c r="EH17" s="68"/>
      <c r="EI17" s="68"/>
      <c r="EJ17" s="68"/>
      <c r="EK17" s="68"/>
      <c r="EL17" s="68"/>
      <c r="EM17" s="68"/>
      <c r="EN17" s="68"/>
      <c r="EO17" s="68"/>
      <c r="EP17" s="68"/>
      <c r="EQ17" s="68"/>
      <c r="ER17" s="68"/>
      <c r="ES17" s="68"/>
      <c r="ET17" s="68"/>
      <c r="EU17" s="68"/>
      <c r="EV17" s="68"/>
      <c r="EW17" s="68"/>
      <c r="EX17" s="68"/>
      <c r="EY17" s="68"/>
      <c r="EZ17" s="68"/>
      <c r="FA17" s="68"/>
      <c r="FB17" s="68"/>
      <c r="FC17" s="68"/>
      <c r="FD17" s="68"/>
      <c r="FE17" s="68"/>
      <c r="FF17" s="68"/>
      <c r="FG17" s="68"/>
      <c r="FH17" s="68"/>
      <c r="FI17" s="68"/>
      <c r="FJ17" s="68"/>
      <c r="FK17" s="68"/>
      <c r="FL17" s="68"/>
      <c r="FM17" s="68"/>
      <c r="FN17" s="68"/>
    </row>
    <row r="18" spans="1:170" s="24" customFormat="1" ht="11.5" x14ac:dyDescent="0.25">
      <c r="A18" s="23" t="s">
        <v>12</v>
      </c>
      <c r="E18" s="65">
        <v>2655524.4900000002</v>
      </c>
      <c r="F18" s="65">
        <v>2948897.49</v>
      </c>
      <c r="G18" s="65">
        <v>3216588.86</v>
      </c>
      <c r="H18" s="66">
        <v>3147573.47</v>
      </c>
      <c r="I18" s="67">
        <v>3703783.45</v>
      </c>
      <c r="J18" s="28">
        <v>2878128</v>
      </c>
      <c r="K18" s="28">
        <v>4136885</v>
      </c>
      <c r="L18" s="28">
        <v>2954056</v>
      </c>
      <c r="M18" s="267">
        <v>4008540</v>
      </c>
      <c r="N18" s="28">
        <f t="shared" ref="N18:O25" si="9">M18</f>
        <v>4008540</v>
      </c>
      <c r="O18" s="28">
        <f t="shared" si="9"/>
        <v>4008540</v>
      </c>
      <c r="P18" s="28">
        <f t="shared" ref="P18:AN18" si="10">O18</f>
        <v>4008540</v>
      </c>
      <c r="Q18" s="28">
        <f t="shared" si="10"/>
        <v>4008540</v>
      </c>
      <c r="R18" s="28">
        <f t="shared" si="10"/>
        <v>4008540</v>
      </c>
      <c r="S18" s="28">
        <f t="shared" si="10"/>
        <v>4008540</v>
      </c>
      <c r="T18" s="28">
        <f t="shared" si="10"/>
        <v>4008540</v>
      </c>
      <c r="U18" s="28">
        <f t="shared" si="10"/>
        <v>4008540</v>
      </c>
      <c r="V18" s="28">
        <f t="shared" si="10"/>
        <v>4008540</v>
      </c>
      <c r="W18" s="28">
        <f t="shared" si="10"/>
        <v>4008540</v>
      </c>
      <c r="X18" s="28">
        <f t="shared" si="10"/>
        <v>4008540</v>
      </c>
      <c r="Y18" s="28">
        <f t="shared" si="10"/>
        <v>4008540</v>
      </c>
      <c r="Z18" s="28">
        <f t="shared" si="10"/>
        <v>4008540</v>
      </c>
      <c r="AA18" s="28">
        <f t="shared" si="10"/>
        <v>4008540</v>
      </c>
      <c r="AB18" s="28">
        <f t="shared" si="10"/>
        <v>4008540</v>
      </c>
      <c r="AC18" s="28">
        <f t="shared" si="10"/>
        <v>4008540</v>
      </c>
      <c r="AD18" s="28">
        <f t="shared" si="10"/>
        <v>4008540</v>
      </c>
      <c r="AE18" s="28">
        <f t="shared" si="10"/>
        <v>4008540</v>
      </c>
      <c r="AF18" s="28">
        <f t="shared" si="10"/>
        <v>4008540</v>
      </c>
      <c r="AG18" s="28">
        <f t="shared" si="10"/>
        <v>4008540</v>
      </c>
      <c r="AH18" s="28">
        <f t="shared" si="10"/>
        <v>4008540</v>
      </c>
      <c r="AI18" s="28">
        <f t="shared" si="10"/>
        <v>4008540</v>
      </c>
      <c r="AJ18" s="28">
        <f t="shared" si="10"/>
        <v>4008540</v>
      </c>
      <c r="AK18" s="28">
        <f t="shared" si="10"/>
        <v>4008540</v>
      </c>
      <c r="AL18" s="28">
        <f t="shared" si="10"/>
        <v>4008540</v>
      </c>
      <c r="AM18" s="28">
        <f t="shared" si="10"/>
        <v>4008540</v>
      </c>
      <c r="AN18" s="28">
        <f t="shared" si="10"/>
        <v>4008540</v>
      </c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8"/>
      <c r="DQ18" s="68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8"/>
      <c r="EF18" s="68"/>
      <c r="EG18" s="68"/>
      <c r="EH18" s="68"/>
      <c r="EI18" s="68"/>
      <c r="EJ18" s="68"/>
      <c r="EK18" s="68"/>
      <c r="EL18" s="68"/>
      <c r="EM18" s="68"/>
      <c r="EN18" s="68"/>
      <c r="EO18" s="68"/>
      <c r="EP18" s="68"/>
      <c r="EQ18" s="68"/>
      <c r="ER18" s="68"/>
      <c r="ES18" s="68"/>
      <c r="ET18" s="68"/>
      <c r="EU18" s="68"/>
      <c r="EV18" s="68"/>
      <c r="EW18" s="68"/>
      <c r="EX18" s="68"/>
      <c r="EY18" s="68"/>
      <c r="EZ18" s="68"/>
      <c r="FA18" s="68"/>
      <c r="FB18" s="68"/>
      <c r="FC18" s="68"/>
      <c r="FD18" s="68"/>
      <c r="FE18" s="68"/>
      <c r="FF18" s="68"/>
      <c r="FG18" s="68"/>
      <c r="FH18" s="68"/>
      <c r="FI18" s="68"/>
      <c r="FJ18" s="68"/>
      <c r="FK18" s="68"/>
      <c r="FL18" s="68"/>
      <c r="FM18" s="68"/>
      <c r="FN18" s="68"/>
    </row>
    <row r="19" spans="1:170" s="24" customFormat="1" ht="11.5" x14ac:dyDescent="0.25">
      <c r="A19" s="23" t="s">
        <v>13</v>
      </c>
      <c r="E19" s="65">
        <v>362649.31</v>
      </c>
      <c r="F19" s="65">
        <v>430067.69</v>
      </c>
      <c r="G19" s="65">
        <v>398340.65</v>
      </c>
      <c r="H19" s="66">
        <v>423434.92</v>
      </c>
      <c r="I19" s="67">
        <v>394885.68</v>
      </c>
      <c r="J19" s="28">
        <v>376905</v>
      </c>
      <c r="K19" s="28">
        <v>523056</v>
      </c>
      <c r="L19" s="28">
        <v>440295</v>
      </c>
      <c r="M19" s="267">
        <v>506340</v>
      </c>
      <c r="N19" s="28">
        <f t="shared" si="9"/>
        <v>506340</v>
      </c>
      <c r="O19" s="28">
        <f t="shared" si="9"/>
        <v>506340</v>
      </c>
      <c r="P19" s="28">
        <f t="shared" ref="P19:AN19" si="11">O19</f>
        <v>506340</v>
      </c>
      <c r="Q19" s="28">
        <f t="shared" si="11"/>
        <v>506340</v>
      </c>
      <c r="R19" s="28">
        <f t="shared" si="11"/>
        <v>506340</v>
      </c>
      <c r="S19" s="28">
        <f t="shared" si="11"/>
        <v>506340</v>
      </c>
      <c r="T19" s="28">
        <f t="shared" si="11"/>
        <v>506340</v>
      </c>
      <c r="U19" s="28">
        <f t="shared" si="11"/>
        <v>506340</v>
      </c>
      <c r="V19" s="28">
        <f t="shared" si="11"/>
        <v>506340</v>
      </c>
      <c r="W19" s="28">
        <f t="shared" si="11"/>
        <v>506340</v>
      </c>
      <c r="X19" s="28">
        <f t="shared" si="11"/>
        <v>506340</v>
      </c>
      <c r="Y19" s="28">
        <f t="shared" si="11"/>
        <v>506340</v>
      </c>
      <c r="Z19" s="28">
        <f t="shared" si="11"/>
        <v>506340</v>
      </c>
      <c r="AA19" s="28">
        <f t="shared" si="11"/>
        <v>506340</v>
      </c>
      <c r="AB19" s="28">
        <f t="shared" si="11"/>
        <v>506340</v>
      </c>
      <c r="AC19" s="28">
        <f t="shared" si="11"/>
        <v>506340</v>
      </c>
      <c r="AD19" s="28">
        <f t="shared" si="11"/>
        <v>506340</v>
      </c>
      <c r="AE19" s="28">
        <f t="shared" si="11"/>
        <v>506340</v>
      </c>
      <c r="AF19" s="28">
        <f t="shared" si="11"/>
        <v>506340</v>
      </c>
      <c r="AG19" s="28">
        <f t="shared" si="11"/>
        <v>506340</v>
      </c>
      <c r="AH19" s="28">
        <f t="shared" si="11"/>
        <v>506340</v>
      </c>
      <c r="AI19" s="28">
        <f t="shared" si="11"/>
        <v>506340</v>
      </c>
      <c r="AJ19" s="28">
        <f t="shared" si="11"/>
        <v>506340</v>
      </c>
      <c r="AK19" s="28">
        <f t="shared" si="11"/>
        <v>506340</v>
      </c>
      <c r="AL19" s="28">
        <f t="shared" si="11"/>
        <v>506340</v>
      </c>
      <c r="AM19" s="28">
        <f t="shared" si="11"/>
        <v>506340</v>
      </c>
      <c r="AN19" s="28">
        <f t="shared" si="11"/>
        <v>506340</v>
      </c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8"/>
      <c r="DQ19" s="68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68"/>
      <c r="ED19" s="68"/>
      <c r="EE19" s="68"/>
      <c r="EF19" s="68"/>
      <c r="EG19" s="68"/>
      <c r="EH19" s="68"/>
      <c r="EI19" s="68"/>
      <c r="EJ19" s="68"/>
      <c r="EK19" s="68"/>
      <c r="EL19" s="68"/>
      <c r="EM19" s="68"/>
      <c r="EN19" s="68"/>
      <c r="EO19" s="68"/>
      <c r="EP19" s="68"/>
      <c r="EQ19" s="68"/>
      <c r="ER19" s="68"/>
      <c r="ES19" s="68"/>
      <c r="ET19" s="68"/>
      <c r="EU19" s="68"/>
      <c r="EV19" s="68"/>
      <c r="EW19" s="68"/>
      <c r="EX19" s="68"/>
      <c r="EY19" s="68"/>
      <c r="EZ19" s="68"/>
      <c r="FA19" s="68"/>
      <c r="FB19" s="68"/>
      <c r="FC19" s="68"/>
      <c r="FD19" s="68"/>
      <c r="FE19" s="68"/>
      <c r="FF19" s="68"/>
      <c r="FG19" s="68"/>
      <c r="FH19" s="68"/>
      <c r="FI19" s="68"/>
      <c r="FJ19" s="68"/>
      <c r="FK19" s="68"/>
      <c r="FL19" s="68"/>
      <c r="FM19" s="68"/>
      <c r="FN19" s="68"/>
    </row>
    <row r="20" spans="1:170" s="24" customFormat="1" ht="11.5" customHeight="1" x14ac:dyDescent="0.25">
      <c r="A20" s="350" t="s">
        <v>14</v>
      </c>
      <c r="B20" s="350"/>
      <c r="C20" s="350"/>
      <c r="E20" s="65">
        <v>4644371.3499999996</v>
      </c>
      <c r="F20" s="65">
        <v>5572957.1399999997</v>
      </c>
      <c r="G20" s="65">
        <v>5749487.8600000003</v>
      </c>
      <c r="H20" s="66">
        <v>5466756.0800000001</v>
      </c>
      <c r="I20" s="67">
        <v>5969608.5899999999</v>
      </c>
      <c r="J20" s="28">
        <v>4844483</v>
      </c>
      <c r="K20" s="28">
        <v>5653484</v>
      </c>
      <c r="L20" s="28">
        <f>K20*0.9</f>
        <v>5088135.6000000006</v>
      </c>
      <c r="M20" s="267">
        <v>8491284</v>
      </c>
      <c r="N20" s="28">
        <f t="shared" si="9"/>
        <v>8491284</v>
      </c>
      <c r="O20" s="28">
        <f t="shared" si="9"/>
        <v>8491284</v>
      </c>
      <c r="P20" s="28">
        <f t="shared" ref="P20:AN20" si="12">O20</f>
        <v>8491284</v>
      </c>
      <c r="Q20" s="28">
        <f t="shared" si="12"/>
        <v>8491284</v>
      </c>
      <c r="R20" s="28">
        <f t="shared" si="12"/>
        <v>8491284</v>
      </c>
      <c r="S20" s="28">
        <f t="shared" si="12"/>
        <v>8491284</v>
      </c>
      <c r="T20" s="28">
        <f t="shared" si="12"/>
        <v>8491284</v>
      </c>
      <c r="U20" s="28">
        <f t="shared" si="12"/>
        <v>8491284</v>
      </c>
      <c r="V20" s="28">
        <f t="shared" si="12"/>
        <v>8491284</v>
      </c>
      <c r="W20" s="28">
        <f t="shared" si="12"/>
        <v>8491284</v>
      </c>
      <c r="X20" s="28">
        <f t="shared" si="12"/>
        <v>8491284</v>
      </c>
      <c r="Y20" s="28">
        <f t="shared" si="12"/>
        <v>8491284</v>
      </c>
      <c r="Z20" s="28">
        <f t="shared" si="12"/>
        <v>8491284</v>
      </c>
      <c r="AA20" s="28">
        <f t="shared" si="12"/>
        <v>8491284</v>
      </c>
      <c r="AB20" s="28">
        <f t="shared" si="12"/>
        <v>8491284</v>
      </c>
      <c r="AC20" s="28">
        <f t="shared" si="12"/>
        <v>8491284</v>
      </c>
      <c r="AD20" s="28">
        <f t="shared" si="12"/>
        <v>8491284</v>
      </c>
      <c r="AE20" s="28">
        <f t="shared" si="12"/>
        <v>8491284</v>
      </c>
      <c r="AF20" s="28">
        <f t="shared" si="12"/>
        <v>8491284</v>
      </c>
      <c r="AG20" s="28">
        <f t="shared" si="12"/>
        <v>8491284</v>
      </c>
      <c r="AH20" s="28">
        <f t="shared" si="12"/>
        <v>8491284</v>
      </c>
      <c r="AI20" s="28">
        <f t="shared" si="12"/>
        <v>8491284</v>
      </c>
      <c r="AJ20" s="28">
        <f t="shared" si="12"/>
        <v>8491284</v>
      </c>
      <c r="AK20" s="28">
        <f t="shared" si="12"/>
        <v>8491284</v>
      </c>
      <c r="AL20" s="28">
        <f t="shared" si="12"/>
        <v>8491284</v>
      </c>
      <c r="AM20" s="28">
        <f t="shared" si="12"/>
        <v>8491284</v>
      </c>
      <c r="AN20" s="28">
        <f t="shared" si="12"/>
        <v>8491284</v>
      </c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8"/>
      <c r="CM20" s="68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8"/>
      <c r="DQ20" s="68"/>
      <c r="DR20" s="68"/>
      <c r="DS20" s="68"/>
      <c r="DT20" s="68"/>
      <c r="DU20" s="68"/>
      <c r="DV20" s="68"/>
      <c r="DW20" s="68"/>
      <c r="DX20" s="68"/>
      <c r="DY20" s="68"/>
      <c r="DZ20" s="68"/>
      <c r="EA20" s="68"/>
      <c r="EB20" s="68"/>
      <c r="EC20" s="68"/>
      <c r="ED20" s="68"/>
      <c r="EE20" s="68"/>
      <c r="EF20" s="68"/>
      <c r="EG20" s="68"/>
      <c r="EH20" s="68"/>
      <c r="EI20" s="68"/>
      <c r="EJ20" s="68"/>
      <c r="EK20" s="68"/>
      <c r="EL20" s="68"/>
      <c r="EM20" s="68"/>
      <c r="EN20" s="68"/>
      <c r="EO20" s="68"/>
      <c r="EP20" s="68"/>
      <c r="EQ20" s="68"/>
      <c r="ER20" s="68"/>
      <c r="ES20" s="68"/>
      <c r="ET20" s="68"/>
      <c r="EU20" s="68"/>
      <c r="EV20" s="68"/>
      <c r="EW20" s="68"/>
      <c r="EX20" s="68"/>
      <c r="EY20" s="68"/>
      <c r="EZ20" s="68"/>
      <c r="FA20" s="68"/>
      <c r="FB20" s="68"/>
      <c r="FC20" s="68"/>
      <c r="FD20" s="68"/>
      <c r="FE20" s="68"/>
      <c r="FF20" s="68"/>
      <c r="FG20" s="68"/>
      <c r="FH20" s="68"/>
      <c r="FI20" s="68"/>
      <c r="FJ20" s="68"/>
      <c r="FK20" s="68"/>
      <c r="FL20" s="68"/>
      <c r="FM20" s="68"/>
      <c r="FN20" s="68"/>
    </row>
    <row r="21" spans="1:170" s="24" customFormat="1" ht="11.5" x14ac:dyDescent="0.25">
      <c r="A21" s="23" t="s">
        <v>15</v>
      </c>
      <c r="E21" s="65">
        <v>3607.07</v>
      </c>
      <c r="F21" s="65">
        <v>3421.5</v>
      </c>
      <c r="G21" s="65">
        <v>4429.8900000000003</v>
      </c>
      <c r="H21" s="66">
        <v>4899.04</v>
      </c>
      <c r="I21" s="67">
        <v>17958.849999999999</v>
      </c>
      <c r="J21" s="28">
        <v>7979</v>
      </c>
      <c r="K21" s="28">
        <v>13265</v>
      </c>
      <c r="L21" s="28">
        <f>4641.68/10*12</f>
        <v>5570.0159999999996</v>
      </c>
      <c r="M21" s="267">
        <v>4764</v>
      </c>
      <c r="N21" s="28">
        <f t="shared" si="9"/>
        <v>4764</v>
      </c>
      <c r="O21" s="28">
        <f t="shared" si="9"/>
        <v>4764</v>
      </c>
      <c r="P21" s="28">
        <f t="shared" ref="P21:AN21" si="13">O21</f>
        <v>4764</v>
      </c>
      <c r="Q21" s="28">
        <f t="shared" si="13"/>
        <v>4764</v>
      </c>
      <c r="R21" s="28">
        <f t="shared" si="13"/>
        <v>4764</v>
      </c>
      <c r="S21" s="28">
        <f t="shared" si="13"/>
        <v>4764</v>
      </c>
      <c r="T21" s="28">
        <f t="shared" si="13"/>
        <v>4764</v>
      </c>
      <c r="U21" s="28">
        <f t="shared" si="13"/>
        <v>4764</v>
      </c>
      <c r="V21" s="28">
        <f t="shared" si="13"/>
        <v>4764</v>
      </c>
      <c r="W21" s="28">
        <f t="shared" si="13"/>
        <v>4764</v>
      </c>
      <c r="X21" s="28">
        <f t="shared" si="13"/>
        <v>4764</v>
      </c>
      <c r="Y21" s="28">
        <f t="shared" si="13"/>
        <v>4764</v>
      </c>
      <c r="Z21" s="28">
        <f t="shared" si="13"/>
        <v>4764</v>
      </c>
      <c r="AA21" s="28">
        <f t="shared" si="13"/>
        <v>4764</v>
      </c>
      <c r="AB21" s="28">
        <f t="shared" si="13"/>
        <v>4764</v>
      </c>
      <c r="AC21" s="28">
        <f t="shared" si="13"/>
        <v>4764</v>
      </c>
      <c r="AD21" s="28">
        <f t="shared" si="13"/>
        <v>4764</v>
      </c>
      <c r="AE21" s="28">
        <f t="shared" si="13"/>
        <v>4764</v>
      </c>
      <c r="AF21" s="28">
        <f t="shared" si="13"/>
        <v>4764</v>
      </c>
      <c r="AG21" s="28">
        <f t="shared" si="13"/>
        <v>4764</v>
      </c>
      <c r="AH21" s="28">
        <f t="shared" si="13"/>
        <v>4764</v>
      </c>
      <c r="AI21" s="28">
        <f t="shared" si="13"/>
        <v>4764</v>
      </c>
      <c r="AJ21" s="28">
        <f t="shared" si="13"/>
        <v>4764</v>
      </c>
      <c r="AK21" s="28">
        <f t="shared" si="13"/>
        <v>4764</v>
      </c>
      <c r="AL21" s="28">
        <f t="shared" si="13"/>
        <v>4764</v>
      </c>
      <c r="AM21" s="28">
        <f t="shared" si="13"/>
        <v>4764</v>
      </c>
      <c r="AN21" s="28">
        <f t="shared" si="13"/>
        <v>4764</v>
      </c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8"/>
      <c r="CM21" s="68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8"/>
      <c r="DQ21" s="68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68"/>
      <c r="EF21" s="68"/>
      <c r="EG21" s="68"/>
      <c r="EH21" s="68"/>
      <c r="EI21" s="68"/>
      <c r="EJ21" s="68"/>
      <c r="EK21" s="68"/>
      <c r="EL21" s="68"/>
      <c r="EM21" s="68"/>
      <c r="EN21" s="68"/>
      <c r="EO21" s="68"/>
      <c r="EP21" s="68"/>
      <c r="EQ21" s="68"/>
      <c r="ER21" s="68"/>
      <c r="ES21" s="68"/>
      <c r="ET21" s="68"/>
      <c r="EU21" s="68"/>
      <c r="EV21" s="68"/>
      <c r="EW21" s="68"/>
      <c r="EX21" s="68"/>
      <c r="EY21" s="68"/>
      <c r="EZ21" s="68"/>
      <c r="FA21" s="68"/>
      <c r="FB21" s="68"/>
      <c r="FC21" s="68"/>
      <c r="FD21" s="68"/>
      <c r="FE21" s="68"/>
      <c r="FF21" s="68"/>
      <c r="FG21" s="68"/>
      <c r="FH21" s="68"/>
      <c r="FI21" s="68"/>
      <c r="FJ21" s="68"/>
      <c r="FK21" s="68"/>
      <c r="FL21" s="68"/>
      <c r="FM21" s="68"/>
      <c r="FN21" s="68"/>
    </row>
    <row r="22" spans="1:170" s="24" customFormat="1" ht="11.5" x14ac:dyDescent="0.25">
      <c r="A22" s="23" t="s">
        <v>16</v>
      </c>
      <c r="E22" s="65">
        <v>152556.35999999999</v>
      </c>
      <c r="F22" s="65">
        <v>152108.82999999999</v>
      </c>
      <c r="G22" s="65">
        <v>162584.51</v>
      </c>
      <c r="H22" s="66">
        <v>143968</v>
      </c>
      <c r="I22" s="67">
        <v>144980.51</v>
      </c>
      <c r="J22" s="28">
        <v>140870</v>
      </c>
      <c r="K22" s="28">
        <v>150274</v>
      </c>
      <c r="L22" s="28">
        <f>145562.52/10*12</f>
        <v>174675.02399999998</v>
      </c>
      <c r="M22" s="267">
        <f>L22*1.15</f>
        <v>200876.27759999994</v>
      </c>
      <c r="N22" s="28">
        <f t="shared" si="9"/>
        <v>200876.27759999994</v>
      </c>
      <c r="O22" s="28">
        <f t="shared" si="9"/>
        <v>200876.27759999994</v>
      </c>
      <c r="P22" s="28">
        <f t="shared" ref="P22:AN22" si="14">O22</f>
        <v>200876.27759999994</v>
      </c>
      <c r="Q22" s="28">
        <f t="shared" si="14"/>
        <v>200876.27759999994</v>
      </c>
      <c r="R22" s="28">
        <f t="shared" si="14"/>
        <v>200876.27759999994</v>
      </c>
      <c r="S22" s="28">
        <f t="shared" si="14"/>
        <v>200876.27759999994</v>
      </c>
      <c r="T22" s="28">
        <f t="shared" si="14"/>
        <v>200876.27759999994</v>
      </c>
      <c r="U22" s="28">
        <f t="shared" si="14"/>
        <v>200876.27759999994</v>
      </c>
      <c r="V22" s="28">
        <f t="shared" si="14"/>
        <v>200876.27759999994</v>
      </c>
      <c r="W22" s="28">
        <f t="shared" si="14"/>
        <v>200876.27759999994</v>
      </c>
      <c r="X22" s="28">
        <f t="shared" si="14"/>
        <v>200876.27759999994</v>
      </c>
      <c r="Y22" s="28">
        <f t="shared" si="14"/>
        <v>200876.27759999994</v>
      </c>
      <c r="Z22" s="28">
        <f t="shared" si="14"/>
        <v>200876.27759999994</v>
      </c>
      <c r="AA22" s="28">
        <f t="shared" si="14"/>
        <v>200876.27759999994</v>
      </c>
      <c r="AB22" s="28">
        <f t="shared" si="14"/>
        <v>200876.27759999994</v>
      </c>
      <c r="AC22" s="28">
        <f t="shared" si="14"/>
        <v>200876.27759999994</v>
      </c>
      <c r="AD22" s="28">
        <f t="shared" si="14"/>
        <v>200876.27759999994</v>
      </c>
      <c r="AE22" s="28">
        <f t="shared" si="14"/>
        <v>200876.27759999994</v>
      </c>
      <c r="AF22" s="28">
        <f t="shared" si="14"/>
        <v>200876.27759999994</v>
      </c>
      <c r="AG22" s="28">
        <f t="shared" si="14"/>
        <v>200876.27759999994</v>
      </c>
      <c r="AH22" s="28">
        <f t="shared" si="14"/>
        <v>200876.27759999994</v>
      </c>
      <c r="AI22" s="28">
        <f t="shared" si="14"/>
        <v>200876.27759999994</v>
      </c>
      <c r="AJ22" s="28">
        <f t="shared" si="14"/>
        <v>200876.27759999994</v>
      </c>
      <c r="AK22" s="28">
        <f t="shared" si="14"/>
        <v>200876.27759999994</v>
      </c>
      <c r="AL22" s="28">
        <f t="shared" si="14"/>
        <v>200876.27759999994</v>
      </c>
      <c r="AM22" s="28">
        <f t="shared" si="14"/>
        <v>200876.27759999994</v>
      </c>
      <c r="AN22" s="28">
        <f t="shared" si="14"/>
        <v>200876.27759999994</v>
      </c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68"/>
      <c r="CL22" s="68"/>
      <c r="CM22" s="68"/>
      <c r="CN22" s="68"/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8"/>
      <c r="DB22" s="68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68"/>
      <c r="DQ22" s="68"/>
      <c r="DR22" s="68"/>
      <c r="DS22" s="68"/>
      <c r="DT22" s="68"/>
      <c r="DU22" s="68"/>
      <c r="DV22" s="68"/>
      <c r="DW22" s="68"/>
      <c r="DX22" s="68"/>
      <c r="DY22" s="68"/>
      <c r="DZ22" s="68"/>
      <c r="EA22" s="68"/>
      <c r="EB22" s="68"/>
      <c r="EC22" s="68"/>
      <c r="ED22" s="68"/>
      <c r="EE22" s="68"/>
      <c r="EF22" s="68"/>
      <c r="EG22" s="68"/>
      <c r="EH22" s="68"/>
      <c r="EI22" s="68"/>
      <c r="EJ22" s="68"/>
      <c r="EK22" s="68"/>
      <c r="EL22" s="68"/>
      <c r="EM22" s="68"/>
      <c r="EN22" s="68"/>
      <c r="EO22" s="68"/>
      <c r="EP22" s="68"/>
      <c r="EQ22" s="68"/>
      <c r="ER22" s="68"/>
      <c r="ES22" s="68"/>
      <c r="ET22" s="68"/>
      <c r="EU22" s="68"/>
      <c r="EV22" s="68"/>
      <c r="EW22" s="68"/>
      <c r="EX22" s="68"/>
      <c r="EY22" s="68"/>
      <c r="EZ22" s="68"/>
      <c r="FA22" s="68"/>
      <c r="FB22" s="68"/>
      <c r="FC22" s="68"/>
      <c r="FD22" s="68"/>
      <c r="FE22" s="68"/>
      <c r="FF22" s="68"/>
      <c r="FG22" s="68"/>
      <c r="FH22" s="68"/>
      <c r="FI22" s="68"/>
      <c r="FJ22" s="68"/>
      <c r="FK22" s="68"/>
      <c r="FL22" s="68"/>
      <c r="FM22" s="68"/>
      <c r="FN22" s="68"/>
    </row>
    <row r="23" spans="1:170" s="24" customFormat="1" ht="11.5" x14ac:dyDescent="0.25">
      <c r="A23" s="23" t="s">
        <v>17</v>
      </c>
      <c r="E23" s="65">
        <v>62990.05</v>
      </c>
      <c r="F23" s="65">
        <v>60433.93</v>
      </c>
      <c r="G23" s="65">
        <v>72894.080000000002</v>
      </c>
      <c r="H23" s="65">
        <v>70612.639999999999</v>
      </c>
      <c r="I23" s="67">
        <v>77051.22</v>
      </c>
      <c r="J23" s="28">
        <v>107548</v>
      </c>
      <c r="K23" s="28">
        <v>100323</v>
      </c>
      <c r="L23" s="28">
        <f>173186.7/10*12</f>
        <v>207824.04000000004</v>
      </c>
      <c r="M23" s="267">
        <f>L23*1.15</f>
        <v>238997.64600000004</v>
      </c>
      <c r="N23" s="28">
        <f t="shared" si="9"/>
        <v>238997.64600000004</v>
      </c>
      <c r="O23" s="28">
        <f t="shared" si="9"/>
        <v>238997.64600000004</v>
      </c>
      <c r="P23" s="28">
        <f t="shared" ref="P23:AN23" si="15">O23</f>
        <v>238997.64600000004</v>
      </c>
      <c r="Q23" s="28">
        <f t="shared" si="15"/>
        <v>238997.64600000004</v>
      </c>
      <c r="R23" s="28">
        <f t="shared" si="15"/>
        <v>238997.64600000004</v>
      </c>
      <c r="S23" s="28">
        <f t="shared" si="15"/>
        <v>238997.64600000004</v>
      </c>
      <c r="T23" s="28">
        <f t="shared" si="15"/>
        <v>238997.64600000004</v>
      </c>
      <c r="U23" s="28">
        <f t="shared" si="15"/>
        <v>238997.64600000004</v>
      </c>
      <c r="V23" s="28">
        <f t="shared" si="15"/>
        <v>238997.64600000004</v>
      </c>
      <c r="W23" s="28">
        <f t="shared" si="15"/>
        <v>238997.64600000004</v>
      </c>
      <c r="X23" s="28">
        <f t="shared" si="15"/>
        <v>238997.64600000004</v>
      </c>
      <c r="Y23" s="28">
        <f t="shared" si="15"/>
        <v>238997.64600000004</v>
      </c>
      <c r="Z23" s="28">
        <f t="shared" si="15"/>
        <v>238997.64600000004</v>
      </c>
      <c r="AA23" s="28">
        <f t="shared" si="15"/>
        <v>238997.64600000004</v>
      </c>
      <c r="AB23" s="28">
        <f t="shared" si="15"/>
        <v>238997.64600000004</v>
      </c>
      <c r="AC23" s="28">
        <f t="shared" si="15"/>
        <v>238997.64600000004</v>
      </c>
      <c r="AD23" s="28">
        <f t="shared" si="15"/>
        <v>238997.64600000004</v>
      </c>
      <c r="AE23" s="28">
        <f t="shared" si="15"/>
        <v>238997.64600000004</v>
      </c>
      <c r="AF23" s="28">
        <f t="shared" si="15"/>
        <v>238997.64600000004</v>
      </c>
      <c r="AG23" s="28">
        <f t="shared" si="15"/>
        <v>238997.64600000004</v>
      </c>
      <c r="AH23" s="28">
        <f t="shared" si="15"/>
        <v>238997.64600000004</v>
      </c>
      <c r="AI23" s="28">
        <f t="shared" si="15"/>
        <v>238997.64600000004</v>
      </c>
      <c r="AJ23" s="28">
        <f t="shared" si="15"/>
        <v>238997.64600000004</v>
      </c>
      <c r="AK23" s="28">
        <f t="shared" si="15"/>
        <v>238997.64600000004</v>
      </c>
      <c r="AL23" s="28">
        <f t="shared" si="15"/>
        <v>238997.64600000004</v>
      </c>
      <c r="AM23" s="28">
        <f t="shared" si="15"/>
        <v>238997.64600000004</v>
      </c>
      <c r="AN23" s="28">
        <f t="shared" si="15"/>
        <v>238997.64600000004</v>
      </c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68"/>
      <c r="CJ23" s="68"/>
      <c r="CK23" s="68"/>
      <c r="CL23" s="68"/>
      <c r="CM23" s="68"/>
      <c r="CN23" s="68"/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8"/>
      <c r="DB23" s="68"/>
      <c r="DC23" s="68"/>
      <c r="DD23" s="68"/>
      <c r="DE23" s="68"/>
      <c r="DF23" s="68"/>
      <c r="DG23" s="68"/>
      <c r="DH23" s="68"/>
      <c r="DI23" s="68"/>
      <c r="DJ23" s="68"/>
      <c r="DK23" s="68"/>
      <c r="DL23" s="68"/>
      <c r="DM23" s="68"/>
      <c r="DN23" s="68"/>
      <c r="DO23" s="68"/>
      <c r="DP23" s="68"/>
      <c r="DQ23" s="68"/>
      <c r="DR23" s="68"/>
      <c r="DS23" s="68"/>
      <c r="DT23" s="68"/>
      <c r="DU23" s="68"/>
      <c r="DV23" s="68"/>
      <c r="DW23" s="68"/>
      <c r="DX23" s="68"/>
      <c r="DY23" s="68"/>
      <c r="DZ23" s="68"/>
      <c r="EA23" s="68"/>
      <c r="EB23" s="68"/>
      <c r="EC23" s="68"/>
      <c r="ED23" s="68"/>
      <c r="EE23" s="68"/>
      <c r="EF23" s="68"/>
      <c r="EG23" s="68"/>
      <c r="EH23" s="68"/>
      <c r="EI23" s="68"/>
      <c r="EJ23" s="68"/>
      <c r="EK23" s="68"/>
      <c r="EL23" s="68"/>
      <c r="EM23" s="68"/>
      <c r="EN23" s="68"/>
      <c r="EO23" s="68"/>
      <c r="EP23" s="68"/>
      <c r="EQ23" s="68"/>
      <c r="ER23" s="68"/>
      <c r="ES23" s="68"/>
      <c r="ET23" s="68"/>
      <c r="EU23" s="68"/>
      <c r="EV23" s="68"/>
      <c r="EW23" s="68"/>
      <c r="EX23" s="68"/>
      <c r="EY23" s="68"/>
      <c r="EZ23" s="68"/>
      <c r="FA23" s="68"/>
      <c r="FB23" s="68"/>
      <c r="FC23" s="68"/>
      <c r="FD23" s="68"/>
      <c r="FE23" s="68"/>
      <c r="FF23" s="68"/>
      <c r="FG23" s="68"/>
      <c r="FH23" s="68"/>
      <c r="FI23" s="68"/>
      <c r="FJ23" s="68"/>
      <c r="FK23" s="68"/>
      <c r="FL23" s="68"/>
      <c r="FM23" s="68"/>
      <c r="FN23" s="68"/>
    </row>
    <row r="24" spans="1:170" s="24" customFormat="1" ht="11.5" x14ac:dyDescent="0.25">
      <c r="A24" s="23" t="s">
        <v>18</v>
      </c>
      <c r="E24" s="65">
        <v>123562.65000000001</v>
      </c>
      <c r="F24" s="65">
        <v>120421.26</v>
      </c>
      <c r="G24" s="65">
        <v>115028.27</v>
      </c>
      <c r="H24" s="66">
        <v>110370.16</v>
      </c>
      <c r="I24" s="67">
        <v>119826.68</v>
      </c>
      <c r="J24" s="28">
        <v>87007</v>
      </c>
      <c r="K24" s="28">
        <v>132462</v>
      </c>
      <c r="L24" s="28">
        <f>113893.01/10*12</f>
        <v>136671.61199999999</v>
      </c>
      <c r="M24" s="267">
        <f>L24*1.15</f>
        <v>157172.35379999998</v>
      </c>
      <c r="N24" s="28">
        <f t="shared" si="9"/>
        <v>157172.35379999998</v>
      </c>
      <c r="O24" s="28">
        <f t="shared" si="9"/>
        <v>157172.35379999998</v>
      </c>
      <c r="P24" s="28">
        <f t="shared" ref="P24:AN24" si="16">O24</f>
        <v>157172.35379999998</v>
      </c>
      <c r="Q24" s="28">
        <f t="shared" si="16"/>
        <v>157172.35379999998</v>
      </c>
      <c r="R24" s="28">
        <f t="shared" si="16"/>
        <v>157172.35379999998</v>
      </c>
      <c r="S24" s="28">
        <f t="shared" si="16"/>
        <v>157172.35379999998</v>
      </c>
      <c r="T24" s="28">
        <f t="shared" si="16"/>
        <v>157172.35379999998</v>
      </c>
      <c r="U24" s="28">
        <f t="shared" si="16"/>
        <v>157172.35379999998</v>
      </c>
      <c r="V24" s="28">
        <f t="shared" si="16"/>
        <v>157172.35379999998</v>
      </c>
      <c r="W24" s="28">
        <f t="shared" si="16"/>
        <v>157172.35379999998</v>
      </c>
      <c r="X24" s="28">
        <f t="shared" si="16"/>
        <v>157172.35379999998</v>
      </c>
      <c r="Y24" s="28">
        <f t="shared" si="16"/>
        <v>157172.35379999998</v>
      </c>
      <c r="Z24" s="28">
        <f t="shared" si="16"/>
        <v>157172.35379999998</v>
      </c>
      <c r="AA24" s="28">
        <f t="shared" si="16"/>
        <v>157172.35379999998</v>
      </c>
      <c r="AB24" s="28">
        <f t="shared" si="16"/>
        <v>157172.35379999998</v>
      </c>
      <c r="AC24" s="28">
        <f t="shared" si="16"/>
        <v>157172.35379999998</v>
      </c>
      <c r="AD24" s="28">
        <f t="shared" si="16"/>
        <v>157172.35379999998</v>
      </c>
      <c r="AE24" s="28">
        <f t="shared" si="16"/>
        <v>157172.35379999998</v>
      </c>
      <c r="AF24" s="28">
        <f t="shared" si="16"/>
        <v>157172.35379999998</v>
      </c>
      <c r="AG24" s="28">
        <f t="shared" si="16"/>
        <v>157172.35379999998</v>
      </c>
      <c r="AH24" s="28">
        <f t="shared" si="16"/>
        <v>157172.35379999998</v>
      </c>
      <c r="AI24" s="28">
        <f t="shared" si="16"/>
        <v>157172.35379999998</v>
      </c>
      <c r="AJ24" s="28">
        <f t="shared" si="16"/>
        <v>157172.35379999998</v>
      </c>
      <c r="AK24" s="28">
        <f t="shared" si="16"/>
        <v>157172.35379999998</v>
      </c>
      <c r="AL24" s="28">
        <f t="shared" si="16"/>
        <v>157172.35379999998</v>
      </c>
      <c r="AM24" s="28">
        <f t="shared" si="16"/>
        <v>157172.35379999998</v>
      </c>
      <c r="AN24" s="28">
        <f t="shared" si="16"/>
        <v>157172.35379999998</v>
      </c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8"/>
      <c r="CM24" s="68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8"/>
      <c r="DF24" s="68"/>
      <c r="DG24" s="68"/>
      <c r="DH24" s="68"/>
      <c r="DI24" s="68"/>
      <c r="DJ24" s="68"/>
      <c r="DK24" s="68"/>
      <c r="DL24" s="68"/>
      <c r="DM24" s="68"/>
      <c r="DN24" s="68"/>
      <c r="DO24" s="68"/>
      <c r="DP24" s="68"/>
      <c r="DQ24" s="68"/>
      <c r="DR24" s="68"/>
      <c r="DS24" s="68"/>
      <c r="DT24" s="68"/>
      <c r="DU24" s="68"/>
      <c r="DV24" s="68"/>
      <c r="DW24" s="68"/>
      <c r="DX24" s="68"/>
      <c r="DY24" s="68"/>
      <c r="DZ24" s="68"/>
      <c r="EA24" s="68"/>
      <c r="EB24" s="68"/>
      <c r="EC24" s="68"/>
      <c r="ED24" s="68"/>
      <c r="EE24" s="68"/>
      <c r="EF24" s="68"/>
      <c r="EG24" s="68"/>
      <c r="EH24" s="68"/>
      <c r="EI24" s="68"/>
      <c r="EJ24" s="68"/>
      <c r="EK24" s="68"/>
      <c r="EL24" s="68"/>
      <c r="EM24" s="68"/>
      <c r="EN24" s="68"/>
      <c r="EO24" s="68"/>
      <c r="EP24" s="68"/>
      <c r="EQ24" s="68"/>
      <c r="ER24" s="68"/>
      <c r="ES24" s="68"/>
      <c r="ET24" s="68"/>
      <c r="EU24" s="68"/>
      <c r="EV24" s="68"/>
      <c r="EW24" s="68"/>
      <c r="EX24" s="68"/>
      <c r="EY24" s="68"/>
      <c r="EZ24" s="68"/>
      <c r="FA24" s="68"/>
      <c r="FB24" s="68"/>
      <c r="FC24" s="68"/>
      <c r="FD24" s="68"/>
      <c r="FE24" s="68"/>
      <c r="FF24" s="68"/>
      <c r="FG24" s="68"/>
      <c r="FH24" s="68"/>
      <c r="FI24" s="68"/>
      <c r="FJ24" s="68"/>
      <c r="FK24" s="68"/>
      <c r="FL24" s="68"/>
      <c r="FM24" s="68"/>
      <c r="FN24" s="68"/>
    </row>
    <row r="25" spans="1:170" s="24" customFormat="1" ht="11.5" x14ac:dyDescent="0.25">
      <c r="A25" s="23" t="s">
        <v>19</v>
      </c>
      <c r="E25" s="65">
        <v>229140.94</v>
      </c>
      <c r="F25" s="65">
        <v>273719.82</v>
      </c>
      <c r="G25" s="65">
        <v>155274.93</v>
      </c>
      <c r="H25" s="69">
        <v>149254.18</v>
      </c>
      <c r="I25" s="67">
        <v>199105.71</v>
      </c>
      <c r="J25" s="28">
        <v>185618</v>
      </c>
      <c r="K25" s="28">
        <v>204682</v>
      </c>
      <c r="L25" s="28">
        <f>199301.94/10*12</f>
        <v>239162.32799999998</v>
      </c>
      <c r="M25" s="267">
        <f>L25*1.15</f>
        <v>275036.67719999998</v>
      </c>
      <c r="N25" s="28">
        <f t="shared" si="9"/>
        <v>275036.67719999998</v>
      </c>
      <c r="O25" s="28">
        <f t="shared" si="9"/>
        <v>275036.67719999998</v>
      </c>
      <c r="P25" s="28">
        <f t="shared" ref="P25:AN25" si="17">O25</f>
        <v>275036.67719999998</v>
      </c>
      <c r="Q25" s="28">
        <f t="shared" si="17"/>
        <v>275036.67719999998</v>
      </c>
      <c r="R25" s="28">
        <f t="shared" si="17"/>
        <v>275036.67719999998</v>
      </c>
      <c r="S25" s="28">
        <f t="shared" si="17"/>
        <v>275036.67719999998</v>
      </c>
      <c r="T25" s="28">
        <f t="shared" si="17"/>
        <v>275036.67719999998</v>
      </c>
      <c r="U25" s="28">
        <f t="shared" si="17"/>
        <v>275036.67719999998</v>
      </c>
      <c r="V25" s="28">
        <f t="shared" si="17"/>
        <v>275036.67719999998</v>
      </c>
      <c r="W25" s="28">
        <f t="shared" si="17"/>
        <v>275036.67719999998</v>
      </c>
      <c r="X25" s="28">
        <f t="shared" si="17"/>
        <v>275036.67719999998</v>
      </c>
      <c r="Y25" s="28">
        <f t="shared" si="17"/>
        <v>275036.67719999998</v>
      </c>
      <c r="Z25" s="28">
        <f t="shared" si="17"/>
        <v>275036.67719999998</v>
      </c>
      <c r="AA25" s="28">
        <f t="shared" si="17"/>
        <v>275036.67719999998</v>
      </c>
      <c r="AB25" s="28">
        <f t="shared" si="17"/>
        <v>275036.67719999998</v>
      </c>
      <c r="AC25" s="28">
        <f t="shared" si="17"/>
        <v>275036.67719999998</v>
      </c>
      <c r="AD25" s="28">
        <f t="shared" si="17"/>
        <v>275036.67719999998</v>
      </c>
      <c r="AE25" s="28">
        <f t="shared" si="17"/>
        <v>275036.67719999998</v>
      </c>
      <c r="AF25" s="28">
        <f t="shared" si="17"/>
        <v>275036.67719999998</v>
      </c>
      <c r="AG25" s="28">
        <f t="shared" si="17"/>
        <v>275036.67719999998</v>
      </c>
      <c r="AH25" s="28">
        <f t="shared" si="17"/>
        <v>275036.67719999998</v>
      </c>
      <c r="AI25" s="28">
        <f t="shared" si="17"/>
        <v>275036.67719999998</v>
      </c>
      <c r="AJ25" s="28">
        <f t="shared" si="17"/>
        <v>275036.67719999998</v>
      </c>
      <c r="AK25" s="28">
        <f t="shared" si="17"/>
        <v>275036.67719999998</v>
      </c>
      <c r="AL25" s="28">
        <f t="shared" si="17"/>
        <v>275036.67719999998</v>
      </c>
      <c r="AM25" s="28">
        <f t="shared" si="17"/>
        <v>275036.67719999998</v>
      </c>
      <c r="AN25" s="28">
        <f t="shared" si="17"/>
        <v>275036.67719999998</v>
      </c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8"/>
      <c r="CM25" s="68"/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8"/>
      <c r="DQ25" s="68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8"/>
      <c r="EF25" s="68"/>
      <c r="EG25" s="68"/>
      <c r="EH25" s="68"/>
      <c r="EI25" s="68"/>
      <c r="EJ25" s="68"/>
      <c r="EK25" s="68"/>
      <c r="EL25" s="68"/>
      <c r="EM25" s="68"/>
      <c r="EN25" s="68"/>
      <c r="EO25" s="68"/>
      <c r="EP25" s="68"/>
      <c r="EQ25" s="68"/>
      <c r="ER25" s="68"/>
      <c r="ES25" s="68"/>
      <c r="ET25" s="68"/>
      <c r="EU25" s="68"/>
      <c r="EV25" s="68"/>
      <c r="EW25" s="68"/>
      <c r="EX25" s="68"/>
      <c r="EY25" s="68"/>
      <c r="EZ25" s="68"/>
      <c r="FA25" s="68"/>
      <c r="FB25" s="68"/>
      <c r="FC25" s="68"/>
      <c r="FD25" s="68"/>
      <c r="FE25" s="68"/>
      <c r="FF25" s="68"/>
      <c r="FG25" s="68"/>
      <c r="FH25" s="68"/>
      <c r="FI25" s="68"/>
      <c r="FJ25" s="68"/>
      <c r="FK25" s="68"/>
      <c r="FL25" s="68"/>
      <c r="FM25" s="68"/>
      <c r="FN25" s="68"/>
    </row>
    <row r="26" spans="1:170" s="1" customFormat="1" ht="14" x14ac:dyDescent="0.3">
      <c r="A26" s="23"/>
      <c r="B26" s="24"/>
      <c r="E26" s="30"/>
      <c r="F26" s="30"/>
      <c r="G26" s="30"/>
      <c r="H26" s="31"/>
      <c r="I26" s="32"/>
      <c r="J26" s="17"/>
      <c r="K26" s="17"/>
      <c r="L26" s="17"/>
      <c r="M26" s="18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</row>
    <row r="27" spans="1:170" s="1" customFormat="1" ht="14" x14ac:dyDescent="0.3">
      <c r="A27" s="1" t="s">
        <v>20</v>
      </c>
      <c r="E27" s="17">
        <v>894342</v>
      </c>
      <c r="F27" s="17">
        <v>826176</v>
      </c>
      <c r="G27" s="17">
        <v>789479</v>
      </c>
      <c r="H27" s="17">
        <v>829632</v>
      </c>
      <c r="I27" s="17">
        <v>990433</v>
      </c>
      <c r="J27" s="17">
        <v>908070</v>
      </c>
      <c r="K27" s="17">
        <v>938139</v>
      </c>
      <c r="L27" s="17">
        <v>2479749</v>
      </c>
      <c r="M27" s="18">
        <v>3550913</v>
      </c>
      <c r="N27" s="156">
        <f>M27</f>
        <v>3550913</v>
      </c>
      <c r="O27" s="17">
        <f t="shared" ref="O27:AN27" si="18">N27</f>
        <v>3550913</v>
      </c>
      <c r="P27" s="17">
        <f t="shared" si="18"/>
        <v>3550913</v>
      </c>
      <c r="Q27" s="17">
        <f t="shared" si="18"/>
        <v>3550913</v>
      </c>
      <c r="R27" s="17">
        <f t="shared" si="18"/>
        <v>3550913</v>
      </c>
      <c r="S27" s="17">
        <f t="shared" si="18"/>
        <v>3550913</v>
      </c>
      <c r="T27" s="17">
        <f t="shared" si="18"/>
        <v>3550913</v>
      </c>
      <c r="U27" s="17">
        <f t="shared" si="18"/>
        <v>3550913</v>
      </c>
      <c r="V27" s="17">
        <f t="shared" si="18"/>
        <v>3550913</v>
      </c>
      <c r="W27" s="17">
        <f t="shared" si="18"/>
        <v>3550913</v>
      </c>
      <c r="X27" s="17">
        <f t="shared" si="18"/>
        <v>3550913</v>
      </c>
      <c r="Y27" s="17">
        <f t="shared" si="18"/>
        <v>3550913</v>
      </c>
      <c r="Z27" s="17">
        <f t="shared" si="18"/>
        <v>3550913</v>
      </c>
      <c r="AA27" s="17">
        <f t="shared" si="18"/>
        <v>3550913</v>
      </c>
      <c r="AB27" s="17">
        <f t="shared" si="18"/>
        <v>3550913</v>
      </c>
      <c r="AC27" s="17">
        <f t="shared" si="18"/>
        <v>3550913</v>
      </c>
      <c r="AD27" s="17">
        <f t="shared" si="18"/>
        <v>3550913</v>
      </c>
      <c r="AE27" s="17">
        <f t="shared" si="18"/>
        <v>3550913</v>
      </c>
      <c r="AF27" s="17">
        <f t="shared" si="18"/>
        <v>3550913</v>
      </c>
      <c r="AG27" s="17">
        <f t="shared" si="18"/>
        <v>3550913</v>
      </c>
      <c r="AH27" s="17">
        <f t="shared" si="18"/>
        <v>3550913</v>
      </c>
      <c r="AI27" s="17">
        <f t="shared" si="18"/>
        <v>3550913</v>
      </c>
      <c r="AJ27" s="17">
        <f t="shared" si="18"/>
        <v>3550913</v>
      </c>
      <c r="AK27" s="17">
        <f t="shared" si="18"/>
        <v>3550913</v>
      </c>
      <c r="AL27" s="17">
        <f t="shared" si="18"/>
        <v>3550913</v>
      </c>
      <c r="AM27" s="17">
        <f t="shared" si="18"/>
        <v>3550913</v>
      </c>
      <c r="AN27" s="17">
        <f t="shared" si="18"/>
        <v>3550913</v>
      </c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</row>
    <row r="28" spans="1:170" s="1" customFormat="1" ht="14" x14ac:dyDescent="0.3">
      <c r="A28" s="19" t="s">
        <v>21</v>
      </c>
      <c r="B28" s="19"/>
      <c r="C28" s="19"/>
      <c r="E28" s="21">
        <f t="shared" ref="E28:AN28" si="19">E27/E6</f>
        <v>2.5775536887317919E-2</v>
      </c>
      <c r="F28" s="21">
        <f t="shared" si="19"/>
        <v>2.1446023111188272E-2</v>
      </c>
      <c r="G28" s="21">
        <f t="shared" si="19"/>
        <v>2.0113279884511288E-2</v>
      </c>
      <c r="H28" s="21">
        <f t="shared" si="19"/>
        <v>2.0244236215356204E-2</v>
      </c>
      <c r="I28" s="21">
        <f t="shared" si="19"/>
        <v>2.1193360870232374E-2</v>
      </c>
      <c r="J28" s="21">
        <f t="shared" si="19"/>
        <v>1.9237312492766702E-2</v>
      </c>
      <c r="K28" s="21">
        <f t="shared" si="19"/>
        <v>1.7461385800881253E-2</v>
      </c>
      <c r="L28" s="21">
        <f t="shared" si="19"/>
        <v>4.5392314585964655E-2</v>
      </c>
      <c r="M28" s="265">
        <f t="shared" si="19"/>
        <v>4.6959207166094856E-2</v>
      </c>
      <c r="N28" s="21">
        <f t="shared" si="19"/>
        <v>4.6959207141254289E-2</v>
      </c>
      <c r="O28" s="21">
        <f t="shared" si="19"/>
        <v>4.6959207141254289E-2</v>
      </c>
      <c r="P28" s="21">
        <f t="shared" si="19"/>
        <v>4.6959207141254289E-2</v>
      </c>
      <c r="Q28" s="21">
        <f t="shared" si="19"/>
        <v>4.6959207141254289E-2</v>
      </c>
      <c r="R28" s="21">
        <f t="shared" si="19"/>
        <v>4.6959207141254289E-2</v>
      </c>
      <c r="S28" s="21">
        <f t="shared" si="19"/>
        <v>4.6959207141254289E-2</v>
      </c>
      <c r="T28" s="21">
        <f t="shared" si="19"/>
        <v>4.6959207141254289E-2</v>
      </c>
      <c r="U28" s="21">
        <f t="shared" si="19"/>
        <v>4.6959207141254289E-2</v>
      </c>
      <c r="V28" s="21">
        <f t="shared" si="19"/>
        <v>4.6959207141254289E-2</v>
      </c>
      <c r="W28" s="21">
        <f t="shared" si="19"/>
        <v>4.6959207141254289E-2</v>
      </c>
      <c r="X28" s="21">
        <f t="shared" si="19"/>
        <v>4.6959207141254289E-2</v>
      </c>
      <c r="Y28" s="21">
        <f t="shared" si="19"/>
        <v>4.6959207141254289E-2</v>
      </c>
      <c r="Z28" s="21">
        <f t="shared" si="19"/>
        <v>4.6959207141254289E-2</v>
      </c>
      <c r="AA28" s="21">
        <f t="shared" si="19"/>
        <v>4.6959207141254289E-2</v>
      </c>
      <c r="AB28" s="21">
        <f t="shared" si="19"/>
        <v>4.6959207141254289E-2</v>
      </c>
      <c r="AC28" s="21">
        <f t="shared" si="19"/>
        <v>4.6959207141254289E-2</v>
      </c>
      <c r="AD28" s="21">
        <f t="shared" si="19"/>
        <v>4.6959207141254289E-2</v>
      </c>
      <c r="AE28" s="21">
        <f t="shared" si="19"/>
        <v>4.6959207141254289E-2</v>
      </c>
      <c r="AF28" s="21">
        <f t="shared" si="19"/>
        <v>4.6959207141254289E-2</v>
      </c>
      <c r="AG28" s="21">
        <f t="shared" si="19"/>
        <v>4.6959207141254289E-2</v>
      </c>
      <c r="AH28" s="21">
        <f t="shared" si="19"/>
        <v>4.6959207141254289E-2</v>
      </c>
      <c r="AI28" s="21">
        <f t="shared" si="19"/>
        <v>4.6959207141254289E-2</v>
      </c>
      <c r="AJ28" s="21">
        <f t="shared" si="19"/>
        <v>4.6959207141254289E-2</v>
      </c>
      <c r="AK28" s="21">
        <f t="shared" si="19"/>
        <v>4.6959207141254289E-2</v>
      </c>
      <c r="AL28" s="21">
        <f t="shared" si="19"/>
        <v>4.6959207141254289E-2</v>
      </c>
      <c r="AM28" s="21">
        <f t="shared" si="19"/>
        <v>4.6959207141254289E-2</v>
      </c>
      <c r="AN28" s="21">
        <f t="shared" si="19"/>
        <v>4.6959207141254289E-2</v>
      </c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</row>
    <row r="29" spans="1:170" s="1" customFormat="1" ht="14" x14ac:dyDescent="0.3">
      <c r="E29" s="17"/>
      <c r="F29" s="17"/>
      <c r="G29" s="17"/>
      <c r="H29" s="17"/>
      <c r="I29" s="17"/>
      <c r="J29" s="17"/>
      <c r="K29" s="17"/>
      <c r="L29" s="17"/>
      <c r="M29" s="18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</row>
    <row r="30" spans="1:170" s="1" customFormat="1" ht="14" x14ac:dyDescent="0.3">
      <c r="A30" s="1" t="s">
        <v>22</v>
      </c>
      <c r="E30" s="17">
        <v>19781518</v>
      </c>
      <c r="F30" s="17">
        <v>21640696</v>
      </c>
      <c r="G30" s="17">
        <v>22437470</v>
      </c>
      <c r="H30" s="17">
        <v>24024092</v>
      </c>
      <c r="I30" s="17">
        <v>28033807</v>
      </c>
      <c r="J30" s="17">
        <v>31130657</v>
      </c>
      <c r="K30" s="17">
        <v>34980945</v>
      </c>
      <c r="L30" s="17">
        <v>34814726</v>
      </c>
      <c r="M30" s="18">
        <v>48978777.960000001</v>
      </c>
      <c r="N30" s="17">
        <f>SUM(N33:N37)</f>
        <v>48978778</v>
      </c>
      <c r="O30" s="17">
        <f t="shared" ref="O30:AN30" si="20">SUM(O33:O37)</f>
        <v>48978778</v>
      </c>
      <c r="P30" s="17">
        <f t="shared" si="20"/>
        <v>48978778</v>
      </c>
      <c r="Q30" s="17">
        <f t="shared" si="20"/>
        <v>48978778</v>
      </c>
      <c r="R30" s="17">
        <f t="shared" si="20"/>
        <v>48978778</v>
      </c>
      <c r="S30" s="17">
        <f t="shared" si="20"/>
        <v>48978778</v>
      </c>
      <c r="T30" s="17">
        <f t="shared" si="20"/>
        <v>48978778</v>
      </c>
      <c r="U30" s="17">
        <f t="shared" si="20"/>
        <v>48978778</v>
      </c>
      <c r="V30" s="17">
        <f t="shared" si="20"/>
        <v>48978778</v>
      </c>
      <c r="W30" s="17">
        <f t="shared" si="20"/>
        <v>48978778</v>
      </c>
      <c r="X30" s="17">
        <f t="shared" si="20"/>
        <v>48978778</v>
      </c>
      <c r="Y30" s="17">
        <f t="shared" si="20"/>
        <v>48978778</v>
      </c>
      <c r="Z30" s="17">
        <f t="shared" si="20"/>
        <v>48978778</v>
      </c>
      <c r="AA30" s="17">
        <f t="shared" si="20"/>
        <v>48978778</v>
      </c>
      <c r="AB30" s="17">
        <f t="shared" si="20"/>
        <v>48978778</v>
      </c>
      <c r="AC30" s="17">
        <f t="shared" si="20"/>
        <v>48978778</v>
      </c>
      <c r="AD30" s="17">
        <f t="shared" si="20"/>
        <v>48978778</v>
      </c>
      <c r="AE30" s="17">
        <f t="shared" si="20"/>
        <v>48978778</v>
      </c>
      <c r="AF30" s="17">
        <f t="shared" si="20"/>
        <v>48978778</v>
      </c>
      <c r="AG30" s="17">
        <f t="shared" si="20"/>
        <v>48978778</v>
      </c>
      <c r="AH30" s="17">
        <f t="shared" si="20"/>
        <v>48978778</v>
      </c>
      <c r="AI30" s="17">
        <f t="shared" si="20"/>
        <v>48978778</v>
      </c>
      <c r="AJ30" s="17">
        <f t="shared" si="20"/>
        <v>48978778</v>
      </c>
      <c r="AK30" s="17">
        <f t="shared" si="20"/>
        <v>48978778</v>
      </c>
      <c r="AL30" s="17">
        <f t="shared" si="20"/>
        <v>48978778</v>
      </c>
      <c r="AM30" s="17">
        <f t="shared" si="20"/>
        <v>48978778</v>
      </c>
      <c r="AN30" s="17">
        <f t="shared" si="20"/>
        <v>48978778</v>
      </c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</row>
    <row r="31" spans="1:170" s="1" customFormat="1" ht="14" x14ac:dyDescent="0.3">
      <c r="A31" s="19" t="s">
        <v>23</v>
      </c>
      <c r="B31" s="19"/>
      <c r="C31" s="19"/>
      <c r="E31" s="21">
        <f t="shared" ref="E31:AN31" si="21">E30/E6</f>
        <v>0.57011662976371835</v>
      </c>
      <c r="F31" s="21">
        <f t="shared" si="21"/>
        <v>0.56175302424447038</v>
      </c>
      <c r="G31" s="21">
        <f t="shared" si="21"/>
        <v>0.57163156209389421</v>
      </c>
      <c r="H31" s="21">
        <f t="shared" si="21"/>
        <v>0.58622304022439975</v>
      </c>
      <c r="I31" s="21">
        <f t="shared" si="21"/>
        <v>0.59986954020862226</v>
      </c>
      <c r="J31" s="21">
        <f t="shared" si="21"/>
        <v>0.65949781053678158</v>
      </c>
      <c r="K31" s="21">
        <f t="shared" si="21"/>
        <v>0.65109304306121807</v>
      </c>
      <c r="L31" s="21">
        <f t="shared" si="21"/>
        <v>0.63729070757409834</v>
      </c>
      <c r="M31" s="265">
        <f t="shared" si="21"/>
        <v>0.64772203119755423</v>
      </c>
      <c r="N31" s="21">
        <f t="shared" si="21"/>
        <v>0.64772203138390283</v>
      </c>
      <c r="O31" s="21">
        <f t="shared" si="21"/>
        <v>0.64772203138390283</v>
      </c>
      <c r="P31" s="21">
        <f t="shared" si="21"/>
        <v>0.64772203138390283</v>
      </c>
      <c r="Q31" s="21">
        <f t="shared" si="21"/>
        <v>0.64772203138390283</v>
      </c>
      <c r="R31" s="21">
        <f t="shared" si="21"/>
        <v>0.64772203138390283</v>
      </c>
      <c r="S31" s="21">
        <f t="shared" si="21"/>
        <v>0.64772203138390283</v>
      </c>
      <c r="T31" s="21">
        <f t="shared" si="21"/>
        <v>0.64772203138390283</v>
      </c>
      <c r="U31" s="21">
        <f t="shared" si="21"/>
        <v>0.64772203138390283</v>
      </c>
      <c r="V31" s="21">
        <f t="shared" si="21"/>
        <v>0.64772203138390283</v>
      </c>
      <c r="W31" s="21">
        <f t="shared" si="21"/>
        <v>0.64772203138390283</v>
      </c>
      <c r="X31" s="21">
        <f t="shared" si="21"/>
        <v>0.64772203138390283</v>
      </c>
      <c r="Y31" s="21">
        <f t="shared" si="21"/>
        <v>0.64772203138390283</v>
      </c>
      <c r="Z31" s="21">
        <f t="shared" si="21"/>
        <v>0.64772203138390283</v>
      </c>
      <c r="AA31" s="21">
        <f t="shared" si="21"/>
        <v>0.64772203138390283</v>
      </c>
      <c r="AB31" s="21">
        <f t="shared" si="21"/>
        <v>0.64772203138390283</v>
      </c>
      <c r="AC31" s="21">
        <f t="shared" si="21"/>
        <v>0.64772203138390283</v>
      </c>
      <c r="AD31" s="21">
        <f t="shared" si="21"/>
        <v>0.64772203138390283</v>
      </c>
      <c r="AE31" s="21">
        <f t="shared" si="21"/>
        <v>0.64772203138390283</v>
      </c>
      <c r="AF31" s="21">
        <f t="shared" si="21"/>
        <v>0.64772203138390283</v>
      </c>
      <c r="AG31" s="21">
        <f t="shared" si="21"/>
        <v>0.64772203138390283</v>
      </c>
      <c r="AH31" s="21">
        <f t="shared" si="21"/>
        <v>0.64772203138390283</v>
      </c>
      <c r="AI31" s="21">
        <f t="shared" si="21"/>
        <v>0.64772203138390283</v>
      </c>
      <c r="AJ31" s="21">
        <f t="shared" si="21"/>
        <v>0.64772203138390283</v>
      </c>
      <c r="AK31" s="21">
        <f t="shared" si="21"/>
        <v>0.64772203138390283</v>
      </c>
      <c r="AL31" s="21">
        <f t="shared" si="21"/>
        <v>0.64772203138390283</v>
      </c>
      <c r="AM31" s="21">
        <f t="shared" si="21"/>
        <v>0.64772203138390283</v>
      </c>
      <c r="AN31" s="21">
        <f t="shared" si="21"/>
        <v>0.64772203138390283</v>
      </c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</row>
    <row r="32" spans="1:170" s="1" customFormat="1" ht="14" x14ac:dyDescent="0.3">
      <c r="E32" s="17"/>
      <c r="F32" s="17"/>
      <c r="G32" s="17"/>
      <c r="H32" s="17"/>
      <c r="I32" s="17"/>
      <c r="J32" s="17"/>
      <c r="K32" s="17"/>
      <c r="L32" s="17"/>
      <c r="M32" s="18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</row>
    <row r="33" spans="1:170" s="24" customFormat="1" ht="11.5" x14ac:dyDescent="0.25">
      <c r="A33" s="33" t="s">
        <v>24</v>
      </c>
      <c r="E33" s="28">
        <v>14084698</v>
      </c>
      <c r="F33" s="28">
        <v>15396396</v>
      </c>
      <c r="G33" s="28">
        <v>16023348</v>
      </c>
      <c r="H33" s="28">
        <v>17143233</v>
      </c>
      <c r="I33" s="28">
        <v>19911981</v>
      </c>
      <c r="J33" s="28">
        <v>21884114</v>
      </c>
      <c r="K33" s="28">
        <v>24739793.77</v>
      </c>
      <c r="L33" s="28">
        <f>24830121+120533</f>
        <v>24950654</v>
      </c>
      <c r="M33" s="267">
        <v>34990125</v>
      </c>
      <c r="N33" s="28">
        <f t="shared" ref="N33:AC37" si="22">M33</f>
        <v>34990125</v>
      </c>
      <c r="O33" s="28">
        <f t="shared" si="22"/>
        <v>34990125</v>
      </c>
      <c r="P33" s="28">
        <f t="shared" si="22"/>
        <v>34990125</v>
      </c>
      <c r="Q33" s="28">
        <f t="shared" si="22"/>
        <v>34990125</v>
      </c>
      <c r="R33" s="28">
        <f t="shared" si="22"/>
        <v>34990125</v>
      </c>
      <c r="S33" s="28">
        <f t="shared" si="22"/>
        <v>34990125</v>
      </c>
      <c r="T33" s="28">
        <f t="shared" si="22"/>
        <v>34990125</v>
      </c>
      <c r="U33" s="28">
        <f t="shared" si="22"/>
        <v>34990125</v>
      </c>
      <c r="V33" s="28">
        <f t="shared" si="22"/>
        <v>34990125</v>
      </c>
      <c r="W33" s="28">
        <f t="shared" si="22"/>
        <v>34990125</v>
      </c>
      <c r="X33" s="28">
        <f t="shared" si="22"/>
        <v>34990125</v>
      </c>
      <c r="Y33" s="28">
        <f t="shared" si="22"/>
        <v>34990125</v>
      </c>
      <c r="Z33" s="28">
        <f t="shared" si="22"/>
        <v>34990125</v>
      </c>
      <c r="AA33" s="28">
        <f t="shared" si="22"/>
        <v>34990125</v>
      </c>
      <c r="AB33" s="28">
        <f t="shared" si="22"/>
        <v>34990125</v>
      </c>
      <c r="AC33" s="28">
        <f t="shared" si="22"/>
        <v>34990125</v>
      </c>
      <c r="AD33" s="28">
        <f t="shared" ref="O33:AN37" si="23">AC33</f>
        <v>34990125</v>
      </c>
      <c r="AE33" s="28">
        <f t="shared" si="23"/>
        <v>34990125</v>
      </c>
      <c r="AF33" s="28">
        <f t="shared" si="23"/>
        <v>34990125</v>
      </c>
      <c r="AG33" s="28">
        <f t="shared" si="23"/>
        <v>34990125</v>
      </c>
      <c r="AH33" s="28">
        <f t="shared" si="23"/>
        <v>34990125</v>
      </c>
      <c r="AI33" s="28">
        <f t="shared" si="23"/>
        <v>34990125</v>
      </c>
      <c r="AJ33" s="28">
        <f t="shared" si="23"/>
        <v>34990125</v>
      </c>
      <c r="AK33" s="28">
        <f t="shared" si="23"/>
        <v>34990125</v>
      </c>
      <c r="AL33" s="28">
        <f t="shared" si="23"/>
        <v>34990125</v>
      </c>
      <c r="AM33" s="28">
        <f t="shared" si="23"/>
        <v>34990125</v>
      </c>
      <c r="AN33" s="28">
        <f t="shared" si="23"/>
        <v>34990125</v>
      </c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I33" s="68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8"/>
      <c r="BX33" s="68"/>
      <c r="BY33" s="68"/>
      <c r="BZ33" s="68"/>
      <c r="CA33" s="68"/>
      <c r="CB33" s="68"/>
      <c r="CC33" s="68"/>
      <c r="CD33" s="68"/>
      <c r="CE33" s="68"/>
      <c r="CF33" s="68"/>
      <c r="CG33" s="68"/>
      <c r="CH33" s="68"/>
      <c r="CI33" s="68"/>
      <c r="CJ33" s="68"/>
      <c r="CK33" s="68"/>
      <c r="CL33" s="68"/>
      <c r="CM33" s="68"/>
      <c r="CN33" s="68"/>
      <c r="CO33" s="68"/>
      <c r="CP33" s="68"/>
      <c r="CQ33" s="68"/>
      <c r="CR33" s="68"/>
      <c r="CS33" s="68"/>
      <c r="CT33" s="68"/>
      <c r="CU33" s="68"/>
      <c r="CV33" s="68"/>
      <c r="CW33" s="68"/>
      <c r="CX33" s="68"/>
      <c r="CY33" s="68"/>
      <c r="CZ33" s="68"/>
      <c r="DA33" s="68"/>
      <c r="DB33" s="68"/>
      <c r="DC33" s="68"/>
      <c r="DD33" s="68"/>
      <c r="DE33" s="68"/>
      <c r="DF33" s="68"/>
      <c r="DG33" s="68"/>
      <c r="DH33" s="68"/>
      <c r="DI33" s="68"/>
      <c r="DJ33" s="68"/>
      <c r="DK33" s="68"/>
      <c r="DL33" s="68"/>
      <c r="DM33" s="68"/>
      <c r="DN33" s="68"/>
      <c r="DO33" s="68"/>
      <c r="DP33" s="68"/>
      <c r="DQ33" s="68"/>
      <c r="DR33" s="68"/>
      <c r="DS33" s="68"/>
      <c r="DT33" s="68"/>
      <c r="DU33" s="68"/>
      <c r="DV33" s="68"/>
      <c r="DW33" s="68"/>
      <c r="DX33" s="68"/>
      <c r="DY33" s="68"/>
      <c r="DZ33" s="68"/>
      <c r="EA33" s="68"/>
      <c r="EB33" s="68"/>
      <c r="EC33" s="68"/>
      <c r="ED33" s="68"/>
      <c r="EE33" s="68"/>
      <c r="EF33" s="68"/>
      <c r="EG33" s="68"/>
      <c r="EH33" s="68"/>
      <c r="EI33" s="68"/>
      <c r="EJ33" s="68"/>
      <c r="EK33" s="68"/>
      <c r="EL33" s="68"/>
      <c r="EM33" s="68"/>
      <c r="EN33" s="68"/>
      <c r="EO33" s="68"/>
      <c r="EP33" s="68"/>
      <c r="EQ33" s="68"/>
      <c r="ER33" s="68"/>
      <c r="ES33" s="68"/>
      <c r="ET33" s="68"/>
      <c r="EU33" s="68"/>
      <c r="EV33" s="68"/>
      <c r="EW33" s="68"/>
      <c r="EX33" s="68"/>
      <c r="EY33" s="68"/>
      <c r="EZ33" s="68"/>
      <c r="FA33" s="68"/>
      <c r="FB33" s="68"/>
      <c r="FC33" s="68"/>
      <c r="FD33" s="68"/>
      <c r="FE33" s="68"/>
      <c r="FF33" s="68"/>
      <c r="FG33" s="68"/>
      <c r="FH33" s="68"/>
      <c r="FI33" s="68"/>
      <c r="FJ33" s="68"/>
      <c r="FK33" s="68"/>
      <c r="FL33" s="68"/>
      <c r="FM33" s="68"/>
      <c r="FN33" s="68"/>
    </row>
    <row r="34" spans="1:170" s="24" customFormat="1" ht="11.5" x14ac:dyDescent="0.25">
      <c r="A34" s="33" t="s">
        <v>25</v>
      </c>
      <c r="E34" s="28">
        <v>4948811</v>
      </c>
      <c r="F34" s="28">
        <v>5333960</v>
      </c>
      <c r="G34" s="28">
        <v>5545178</v>
      </c>
      <c r="H34" s="28">
        <v>5960289</v>
      </c>
      <c r="I34" s="28">
        <v>6978844</v>
      </c>
      <c r="J34" s="28">
        <v>7705404</v>
      </c>
      <c r="K34" s="28">
        <v>8689948.6400000006</v>
      </c>
      <c r="L34" s="28">
        <v>8715051</v>
      </c>
      <c r="M34" s="267">
        <v>12236965</v>
      </c>
      <c r="N34" s="28">
        <f t="shared" si="22"/>
        <v>12236965</v>
      </c>
      <c r="O34" s="28">
        <f t="shared" si="23"/>
        <v>12236965</v>
      </c>
      <c r="P34" s="28">
        <f t="shared" si="23"/>
        <v>12236965</v>
      </c>
      <c r="Q34" s="28">
        <f t="shared" si="23"/>
        <v>12236965</v>
      </c>
      <c r="R34" s="28">
        <f t="shared" si="23"/>
        <v>12236965</v>
      </c>
      <c r="S34" s="28">
        <f t="shared" si="23"/>
        <v>12236965</v>
      </c>
      <c r="T34" s="28">
        <f t="shared" si="23"/>
        <v>12236965</v>
      </c>
      <c r="U34" s="28">
        <f t="shared" si="23"/>
        <v>12236965</v>
      </c>
      <c r="V34" s="28">
        <f t="shared" si="23"/>
        <v>12236965</v>
      </c>
      <c r="W34" s="28">
        <f t="shared" si="23"/>
        <v>12236965</v>
      </c>
      <c r="X34" s="28">
        <f t="shared" si="23"/>
        <v>12236965</v>
      </c>
      <c r="Y34" s="28">
        <f t="shared" si="23"/>
        <v>12236965</v>
      </c>
      <c r="Z34" s="28">
        <f t="shared" si="23"/>
        <v>12236965</v>
      </c>
      <c r="AA34" s="28">
        <f t="shared" si="23"/>
        <v>12236965</v>
      </c>
      <c r="AB34" s="28">
        <f t="shared" si="23"/>
        <v>12236965</v>
      </c>
      <c r="AC34" s="28">
        <f t="shared" si="23"/>
        <v>12236965</v>
      </c>
      <c r="AD34" s="28">
        <f t="shared" si="23"/>
        <v>12236965</v>
      </c>
      <c r="AE34" s="28">
        <f t="shared" si="23"/>
        <v>12236965</v>
      </c>
      <c r="AF34" s="28">
        <f t="shared" si="23"/>
        <v>12236965</v>
      </c>
      <c r="AG34" s="28">
        <f t="shared" si="23"/>
        <v>12236965</v>
      </c>
      <c r="AH34" s="28">
        <f t="shared" si="23"/>
        <v>12236965</v>
      </c>
      <c r="AI34" s="28">
        <f t="shared" si="23"/>
        <v>12236965</v>
      </c>
      <c r="AJ34" s="28">
        <f t="shared" si="23"/>
        <v>12236965</v>
      </c>
      <c r="AK34" s="28">
        <f t="shared" si="23"/>
        <v>12236965</v>
      </c>
      <c r="AL34" s="28">
        <f t="shared" si="23"/>
        <v>12236965</v>
      </c>
      <c r="AM34" s="28">
        <f t="shared" si="23"/>
        <v>12236965</v>
      </c>
      <c r="AN34" s="28">
        <f t="shared" si="23"/>
        <v>12236965</v>
      </c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68"/>
      <c r="CJ34" s="68"/>
      <c r="CK34" s="68"/>
      <c r="CL34" s="68"/>
      <c r="CM34" s="68"/>
      <c r="CN34" s="68"/>
      <c r="CO34" s="68"/>
      <c r="CP34" s="68"/>
      <c r="CQ34" s="68"/>
      <c r="CR34" s="68"/>
      <c r="CS34" s="68"/>
      <c r="CT34" s="68"/>
      <c r="CU34" s="68"/>
      <c r="CV34" s="68"/>
      <c r="CW34" s="68"/>
      <c r="CX34" s="68"/>
      <c r="CY34" s="68"/>
      <c r="CZ34" s="68"/>
      <c r="DA34" s="68"/>
      <c r="DB34" s="68"/>
      <c r="DC34" s="68"/>
      <c r="DD34" s="68"/>
      <c r="DE34" s="68"/>
      <c r="DF34" s="68"/>
      <c r="DG34" s="68"/>
      <c r="DH34" s="68"/>
      <c r="DI34" s="68"/>
      <c r="DJ34" s="68"/>
      <c r="DK34" s="68"/>
      <c r="DL34" s="68"/>
      <c r="DM34" s="68"/>
      <c r="DN34" s="68"/>
      <c r="DO34" s="68"/>
      <c r="DP34" s="68"/>
      <c r="DQ34" s="68"/>
      <c r="DR34" s="68"/>
      <c r="DS34" s="68"/>
      <c r="DT34" s="68"/>
      <c r="DU34" s="68"/>
      <c r="DV34" s="68"/>
      <c r="DW34" s="68"/>
      <c r="DX34" s="68"/>
      <c r="DY34" s="68"/>
      <c r="DZ34" s="68"/>
      <c r="EA34" s="68"/>
      <c r="EB34" s="68"/>
      <c r="EC34" s="68"/>
      <c r="ED34" s="68"/>
      <c r="EE34" s="68"/>
      <c r="EF34" s="68"/>
      <c r="EG34" s="68"/>
      <c r="EH34" s="68"/>
      <c r="EI34" s="68"/>
      <c r="EJ34" s="68"/>
      <c r="EK34" s="68"/>
      <c r="EL34" s="68"/>
      <c r="EM34" s="68"/>
      <c r="EN34" s="68"/>
      <c r="EO34" s="68"/>
      <c r="EP34" s="68"/>
      <c r="EQ34" s="68"/>
      <c r="ER34" s="68"/>
      <c r="ES34" s="68"/>
      <c r="ET34" s="68"/>
      <c r="EU34" s="68"/>
      <c r="EV34" s="68"/>
      <c r="EW34" s="68"/>
      <c r="EX34" s="68"/>
      <c r="EY34" s="68"/>
      <c r="EZ34" s="68"/>
      <c r="FA34" s="68"/>
      <c r="FB34" s="68"/>
      <c r="FC34" s="68"/>
      <c r="FD34" s="68"/>
      <c r="FE34" s="68"/>
      <c r="FF34" s="68"/>
      <c r="FG34" s="68"/>
      <c r="FH34" s="68"/>
      <c r="FI34" s="68"/>
      <c r="FJ34" s="68"/>
      <c r="FK34" s="68"/>
      <c r="FL34" s="68"/>
      <c r="FM34" s="68"/>
      <c r="FN34" s="68"/>
    </row>
    <row r="35" spans="1:170" s="24" customFormat="1" ht="11.5" x14ac:dyDescent="0.25">
      <c r="A35" s="33" t="s">
        <v>26</v>
      </c>
      <c r="E35" s="28">
        <v>128413</v>
      </c>
      <c r="F35" s="28">
        <v>193746</v>
      </c>
      <c r="G35" s="28">
        <v>219042</v>
      </c>
      <c r="H35" s="28">
        <v>234942</v>
      </c>
      <c r="I35" s="28">
        <v>280675</v>
      </c>
      <c r="J35" s="28">
        <v>305065</v>
      </c>
      <c r="K35" s="28">
        <v>349756.15999999997</v>
      </c>
      <c r="L35" s="28">
        <v>361825</v>
      </c>
      <c r="M35" s="267">
        <v>394017</v>
      </c>
      <c r="N35" s="28">
        <f t="shared" si="22"/>
        <v>394017</v>
      </c>
      <c r="O35" s="28">
        <f t="shared" si="23"/>
        <v>394017</v>
      </c>
      <c r="P35" s="28">
        <f t="shared" si="23"/>
        <v>394017</v>
      </c>
      <c r="Q35" s="28">
        <f t="shared" si="23"/>
        <v>394017</v>
      </c>
      <c r="R35" s="28">
        <f t="shared" si="23"/>
        <v>394017</v>
      </c>
      <c r="S35" s="28">
        <f t="shared" si="23"/>
        <v>394017</v>
      </c>
      <c r="T35" s="28">
        <f t="shared" si="23"/>
        <v>394017</v>
      </c>
      <c r="U35" s="28">
        <f t="shared" si="23"/>
        <v>394017</v>
      </c>
      <c r="V35" s="28">
        <f t="shared" si="23"/>
        <v>394017</v>
      </c>
      <c r="W35" s="28">
        <f t="shared" si="23"/>
        <v>394017</v>
      </c>
      <c r="X35" s="28">
        <f t="shared" si="23"/>
        <v>394017</v>
      </c>
      <c r="Y35" s="28">
        <f t="shared" si="23"/>
        <v>394017</v>
      </c>
      <c r="Z35" s="28">
        <f t="shared" si="23"/>
        <v>394017</v>
      </c>
      <c r="AA35" s="28">
        <f t="shared" si="23"/>
        <v>394017</v>
      </c>
      <c r="AB35" s="28">
        <f t="shared" si="23"/>
        <v>394017</v>
      </c>
      <c r="AC35" s="28">
        <f t="shared" si="23"/>
        <v>394017</v>
      </c>
      <c r="AD35" s="28">
        <f t="shared" si="23"/>
        <v>394017</v>
      </c>
      <c r="AE35" s="28">
        <f t="shared" si="23"/>
        <v>394017</v>
      </c>
      <c r="AF35" s="28">
        <f t="shared" si="23"/>
        <v>394017</v>
      </c>
      <c r="AG35" s="28">
        <f t="shared" si="23"/>
        <v>394017</v>
      </c>
      <c r="AH35" s="28">
        <f t="shared" si="23"/>
        <v>394017</v>
      </c>
      <c r="AI35" s="28">
        <f t="shared" si="23"/>
        <v>394017</v>
      </c>
      <c r="AJ35" s="28">
        <f t="shared" si="23"/>
        <v>394017</v>
      </c>
      <c r="AK35" s="28">
        <f t="shared" si="23"/>
        <v>394017</v>
      </c>
      <c r="AL35" s="28">
        <f t="shared" si="23"/>
        <v>394017</v>
      </c>
      <c r="AM35" s="28">
        <f t="shared" si="23"/>
        <v>394017</v>
      </c>
      <c r="AN35" s="28">
        <f t="shared" si="23"/>
        <v>394017</v>
      </c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8"/>
      <c r="BX35" s="68"/>
      <c r="BY35" s="68"/>
      <c r="BZ35" s="68"/>
      <c r="CA35" s="68"/>
      <c r="CB35" s="68"/>
      <c r="CC35" s="68"/>
      <c r="CD35" s="68"/>
      <c r="CE35" s="68"/>
      <c r="CF35" s="68"/>
      <c r="CG35" s="68"/>
      <c r="CH35" s="68"/>
      <c r="CI35" s="68"/>
      <c r="CJ35" s="68"/>
      <c r="CK35" s="68"/>
      <c r="CL35" s="68"/>
      <c r="CM35" s="68"/>
      <c r="CN35" s="68"/>
      <c r="CO35" s="68"/>
      <c r="CP35" s="68"/>
      <c r="CQ35" s="68"/>
      <c r="CR35" s="68"/>
      <c r="CS35" s="68"/>
      <c r="CT35" s="68"/>
      <c r="CU35" s="68"/>
      <c r="CV35" s="68"/>
      <c r="CW35" s="68"/>
      <c r="CX35" s="68"/>
      <c r="CY35" s="68"/>
      <c r="CZ35" s="68"/>
      <c r="DA35" s="68"/>
      <c r="DB35" s="68"/>
      <c r="DC35" s="68"/>
      <c r="DD35" s="68"/>
      <c r="DE35" s="68"/>
      <c r="DF35" s="68"/>
      <c r="DG35" s="68"/>
      <c r="DH35" s="68"/>
      <c r="DI35" s="68"/>
      <c r="DJ35" s="68"/>
      <c r="DK35" s="68"/>
      <c r="DL35" s="68"/>
      <c r="DM35" s="68"/>
      <c r="DN35" s="68"/>
      <c r="DO35" s="68"/>
      <c r="DP35" s="68"/>
      <c r="DQ35" s="68"/>
      <c r="DR35" s="68"/>
      <c r="DS35" s="68"/>
      <c r="DT35" s="68"/>
      <c r="DU35" s="68"/>
      <c r="DV35" s="68"/>
      <c r="DW35" s="68"/>
      <c r="DX35" s="68"/>
      <c r="DY35" s="68"/>
      <c r="DZ35" s="68"/>
      <c r="EA35" s="68"/>
      <c r="EB35" s="68"/>
      <c r="EC35" s="68"/>
      <c r="ED35" s="68"/>
      <c r="EE35" s="68"/>
      <c r="EF35" s="68"/>
      <c r="EG35" s="68"/>
      <c r="EH35" s="68"/>
      <c r="EI35" s="68"/>
      <c r="EJ35" s="68"/>
      <c r="EK35" s="68"/>
      <c r="EL35" s="68"/>
      <c r="EM35" s="68"/>
      <c r="EN35" s="68"/>
      <c r="EO35" s="68"/>
      <c r="EP35" s="68"/>
      <c r="EQ35" s="68"/>
      <c r="ER35" s="68"/>
      <c r="ES35" s="68"/>
      <c r="ET35" s="68"/>
      <c r="EU35" s="68"/>
      <c r="EV35" s="68"/>
      <c r="EW35" s="68"/>
      <c r="EX35" s="68"/>
      <c r="EY35" s="68"/>
      <c r="EZ35" s="68"/>
      <c r="FA35" s="68"/>
      <c r="FB35" s="68"/>
      <c r="FC35" s="68"/>
      <c r="FD35" s="68"/>
      <c r="FE35" s="68"/>
      <c r="FF35" s="68"/>
      <c r="FG35" s="68"/>
      <c r="FH35" s="68"/>
      <c r="FI35" s="68"/>
      <c r="FJ35" s="68"/>
      <c r="FK35" s="68"/>
      <c r="FL35" s="68"/>
      <c r="FM35" s="68"/>
      <c r="FN35" s="68"/>
    </row>
    <row r="36" spans="1:170" s="24" customFormat="1" ht="11.5" x14ac:dyDescent="0.25">
      <c r="A36" s="33" t="s">
        <v>27</v>
      </c>
      <c r="E36" s="28">
        <v>616640</v>
      </c>
      <c r="F36" s="28">
        <v>715323</v>
      </c>
      <c r="G36" s="28">
        <v>646371</v>
      </c>
      <c r="H36" s="28">
        <v>683118</v>
      </c>
      <c r="I36" s="28">
        <v>861117</v>
      </c>
      <c r="J36" s="28">
        <v>1236075</v>
      </c>
      <c r="K36" s="28">
        <v>1200186.6399999999</v>
      </c>
      <c r="L36" s="28">
        <v>773600</v>
      </c>
      <c r="M36" s="267">
        <v>1345671</v>
      </c>
      <c r="N36" s="28">
        <f t="shared" si="22"/>
        <v>1345671</v>
      </c>
      <c r="O36" s="28">
        <f t="shared" si="23"/>
        <v>1345671</v>
      </c>
      <c r="P36" s="28">
        <f t="shared" si="23"/>
        <v>1345671</v>
      </c>
      <c r="Q36" s="28">
        <f t="shared" si="23"/>
        <v>1345671</v>
      </c>
      <c r="R36" s="28">
        <f t="shared" si="23"/>
        <v>1345671</v>
      </c>
      <c r="S36" s="28">
        <f t="shared" si="23"/>
        <v>1345671</v>
      </c>
      <c r="T36" s="28">
        <f t="shared" si="23"/>
        <v>1345671</v>
      </c>
      <c r="U36" s="28">
        <f t="shared" si="23"/>
        <v>1345671</v>
      </c>
      <c r="V36" s="28">
        <f t="shared" si="23"/>
        <v>1345671</v>
      </c>
      <c r="W36" s="28">
        <f t="shared" si="23"/>
        <v>1345671</v>
      </c>
      <c r="X36" s="28">
        <f t="shared" si="23"/>
        <v>1345671</v>
      </c>
      <c r="Y36" s="28">
        <f t="shared" si="23"/>
        <v>1345671</v>
      </c>
      <c r="Z36" s="28">
        <f t="shared" si="23"/>
        <v>1345671</v>
      </c>
      <c r="AA36" s="28">
        <f t="shared" si="23"/>
        <v>1345671</v>
      </c>
      <c r="AB36" s="28">
        <f t="shared" si="23"/>
        <v>1345671</v>
      </c>
      <c r="AC36" s="28">
        <f t="shared" si="23"/>
        <v>1345671</v>
      </c>
      <c r="AD36" s="28">
        <f t="shared" si="23"/>
        <v>1345671</v>
      </c>
      <c r="AE36" s="28">
        <f t="shared" si="23"/>
        <v>1345671</v>
      </c>
      <c r="AF36" s="28">
        <f t="shared" si="23"/>
        <v>1345671</v>
      </c>
      <c r="AG36" s="28">
        <f t="shared" si="23"/>
        <v>1345671</v>
      </c>
      <c r="AH36" s="28">
        <f t="shared" si="23"/>
        <v>1345671</v>
      </c>
      <c r="AI36" s="28">
        <f t="shared" si="23"/>
        <v>1345671</v>
      </c>
      <c r="AJ36" s="28">
        <f t="shared" si="23"/>
        <v>1345671</v>
      </c>
      <c r="AK36" s="28">
        <f t="shared" si="23"/>
        <v>1345671</v>
      </c>
      <c r="AL36" s="28">
        <f t="shared" si="23"/>
        <v>1345671</v>
      </c>
      <c r="AM36" s="28">
        <f t="shared" si="23"/>
        <v>1345671</v>
      </c>
      <c r="AN36" s="28">
        <f t="shared" si="23"/>
        <v>1345671</v>
      </c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8"/>
      <c r="BX36" s="68"/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68"/>
      <c r="CJ36" s="68"/>
      <c r="CK36" s="68"/>
      <c r="CL36" s="68"/>
      <c r="CM36" s="68"/>
      <c r="CN36" s="68"/>
      <c r="CO36" s="68"/>
      <c r="CP36" s="68"/>
      <c r="CQ36" s="68"/>
      <c r="CR36" s="68"/>
      <c r="CS36" s="68"/>
      <c r="CT36" s="68"/>
      <c r="CU36" s="68"/>
      <c r="CV36" s="68"/>
      <c r="CW36" s="68"/>
      <c r="CX36" s="68"/>
      <c r="CY36" s="68"/>
      <c r="CZ36" s="68"/>
      <c r="DA36" s="68"/>
      <c r="DB36" s="68"/>
      <c r="DC36" s="68"/>
      <c r="DD36" s="68"/>
      <c r="DE36" s="68"/>
      <c r="DF36" s="68"/>
      <c r="DG36" s="68"/>
      <c r="DH36" s="68"/>
      <c r="DI36" s="68"/>
      <c r="DJ36" s="68"/>
      <c r="DK36" s="68"/>
      <c r="DL36" s="68"/>
      <c r="DM36" s="68"/>
      <c r="DN36" s="68"/>
      <c r="DO36" s="68"/>
      <c r="DP36" s="68"/>
      <c r="DQ36" s="68"/>
      <c r="DR36" s="68"/>
      <c r="DS36" s="68"/>
      <c r="DT36" s="68"/>
      <c r="DU36" s="68"/>
      <c r="DV36" s="68"/>
      <c r="DW36" s="68"/>
      <c r="DX36" s="68"/>
      <c r="DY36" s="68"/>
      <c r="DZ36" s="68"/>
      <c r="EA36" s="68"/>
      <c r="EB36" s="68"/>
      <c r="EC36" s="68"/>
      <c r="ED36" s="68"/>
      <c r="EE36" s="68"/>
      <c r="EF36" s="68"/>
      <c r="EG36" s="68"/>
      <c r="EH36" s="68"/>
      <c r="EI36" s="68"/>
      <c r="EJ36" s="68"/>
      <c r="EK36" s="68"/>
      <c r="EL36" s="68"/>
      <c r="EM36" s="68"/>
      <c r="EN36" s="68"/>
      <c r="EO36" s="68"/>
      <c r="EP36" s="68"/>
      <c r="EQ36" s="68"/>
      <c r="ER36" s="68"/>
      <c r="ES36" s="68"/>
      <c r="ET36" s="68"/>
      <c r="EU36" s="68"/>
      <c r="EV36" s="68"/>
      <c r="EW36" s="68"/>
      <c r="EX36" s="68"/>
      <c r="EY36" s="68"/>
      <c r="EZ36" s="68"/>
      <c r="FA36" s="68"/>
      <c r="FB36" s="68"/>
      <c r="FC36" s="68"/>
      <c r="FD36" s="68"/>
      <c r="FE36" s="68"/>
      <c r="FF36" s="68"/>
      <c r="FG36" s="68"/>
      <c r="FH36" s="68"/>
      <c r="FI36" s="68"/>
      <c r="FJ36" s="68"/>
      <c r="FK36" s="68"/>
      <c r="FL36" s="68"/>
      <c r="FM36" s="68"/>
      <c r="FN36" s="68"/>
    </row>
    <row r="37" spans="1:170" s="24" customFormat="1" ht="11.5" x14ac:dyDescent="0.25">
      <c r="A37" s="33" t="s">
        <v>28</v>
      </c>
      <c r="E37" s="28">
        <v>2956</v>
      </c>
      <c r="F37" s="28">
        <v>1272</v>
      </c>
      <c r="G37" s="28">
        <v>3531</v>
      </c>
      <c r="H37" s="28">
        <v>2508</v>
      </c>
      <c r="I37" s="28">
        <v>1190</v>
      </c>
      <c r="J37" s="28">
        <v>0</v>
      </c>
      <c r="K37" s="28">
        <v>1260</v>
      </c>
      <c r="L37" s="28">
        <v>13596</v>
      </c>
      <c r="M37" s="267">
        <v>12000</v>
      </c>
      <c r="N37" s="28">
        <f t="shared" si="22"/>
        <v>12000</v>
      </c>
      <c r="O37" s="28">
        <f t="shared" si="23"/>
        <v>12000</v>
      </c>
      <c r="P37" s="28">
        <f t="shared" si="23"/>
        <v>12000</v>
      </c>
      <c r="Q37" s="28">
        <f t="shared" si="23"/>
        <v>12000</v>
      </c>
      <c r="R37" s="28">
        <f t="shared" si="23"/>
        <v>12000</v>
      </c>
      <c r="S37" s="28">
        <f t="shared" si="23"/>
        <v>12000</v>
      </c>
      <c r="T37" s="28">
        <f t="shared" si="23"/>
        <v>12000</v>
      </c>
      <c r="U37" s="28">
        <f t="shared" si="23"/>
        <v>12000</v>
      </c>
      <c r="V37" s="28">
        <f t="shared" si="23"/>
        <v>12000</v>
      </c>
      <c r="W37" s="28">
        <f t="shared" si="23"/>
        <v>12000</v>
      </c>
      <c r="X37" s="28">
        <f t="shared" si="23"/>
        <v>12000</v>
      </c>
      <c r="Y37" s="28">
        <f t="shared" si="23"/>
        <v>12000</v>
      </c>
      <c r="Z37" s="28">
        <f t="shared" si="23"/>
        <v>12000</v>
      </c>
      <c r="AA37" s="28">
        <f t="shared" si="23"/>
        <v>12000</v>
      </c>
      <c r="AB37" s="28">
        <f t="shared" si="23"/>
        <v>12000</v>
      </c>
      <c r="AC37" s="28">
        <f t="shared" si="23"/>
        <v>12000</v>
      </c>
      <c r="AD37" s="28">
        <f t="shared" si="23"/>
        <v>12000</v>
      </c>
      <c r="AE37" s="28">
        <f t="shared" si="23"/>
        <v>12000</v>
      </c>
      <c r="AF37" s="28">
        <f t="shared" si="23"/>
        <v>12000</v>
      </c>
      <c r="AG37" s="28">
        <f t="shared" si="23"/>
        <v>12000</v>
      </c>
      <c r="AH37" s="28">
        <f t="shared" si="23"/>
        <v>12000</v>
      </c>
      <c r="AI37" s="28">
        <f t="shared" si="23"/>
        <v>12000</v>
      </c>
      <c r="AJ37" s="28">
        <f t="shared" si="23"/>
        <v>12000</v>
      </c>
      <c r="AK37" s="28">
        <f t="shared" si="23"/>
        <v>12000</v>
      </c>
      <c r="AL37" s="28">
        <f t="shared" si="23"/>
        <v>12000</v>
      </c>
      <c r="AM37" s="28">
        <f t="shared" si="23"/>
        <v>12000</v>
      </c>
      <c r="AN37" s="28">
        <f t="shared" si="23"/>
        <v>12000</v>
      </c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  <c r="BM37" s="68"/>
      <c r="BN37" s="68"/>
      <c r="BO37" s="68"/>
      <c r="BP37" s="68"/>
      <c r="BQ37" s="68"/>
      <c r="BR37" s="68"/>
      <c r="BS37" s="68"/>
      <c r="BT37" s="68"/>
      <c r="BU37" s="68"/>
      <c r="BV37" s="68"/>
      <c r="BW37" s="68"/>
      <c r="BX37" s="68"/>
      <c r="BY37" s="68"/>
      <c r="BZ37" s="68"/>
      <c r="CA37" s="68"/>
      <c r="CB37" s="68"/>
      <c r="CC37" s="68"/>
      <c r="CD37" s="68"/>
      <c r="CE37" s="68"/>
      <c r="CF37" s="68"/>
      <c r="CG37" s="68"/>
      <c r="CH37" s="68"/>
      <c r="CI37" s="68"/>
      <c r="CJ37" s="68"/>
      <c r="CK37" s="68"/>
      <c r="CL37" s="68"/>
      <c r="CM37" s="68"/>
      <c r="CN37" s="68"/>
      <c r="CO37" s="68"/>
      <c r="CP37" s="68"/>
      <c r="CQ37" s="68"/>
      <c r="CR37" s="68"/>
      <c r="CS37" s="68"/>
      <c r="CT37" s="68"/>
      <c r="CU37" s="68"/>
      <c r="CV37" s="68"/>
      <c r="CW37" s="68"/>
      <c r="CX37" s="68"/>
      <c r="CY37" s="68"/>
      <c r="CZ37" s="68"/>
      <c r="DA37" s="68"/>
      <c r="DB37" s="68"/>
      <c r="DC37" s="68"/>
      <c r="DD37" s="68"/>
      <c r="DE37" s="68"/>
      <c r="DF37" s="68"/>
      <c r="DG37" s="68"/>
      <c r="DH37" s="68"/>
      <c r="DI37" s="68"/>
      <c r="DJ37" s="68"/>
      <c r="DK37" s="68"/>
      <c r="DL37" s="68"/>
      <c r="DM37" s="68"/>
      <c r="DN37" s="68"/>
      <c r="DO37" s="68"/>
      <c r="DP37" s="68"/>
      <c r="DQ37" s="68"/>
      <c r="DR37" s="68"/>
      <c r="DS37" s="68"/>
      <c r="DT37" s="68"/>
      <c r="DU37" s="68"/>
      <c r="DV37" s="68"/>
      <c r="DW37" s="68"/>
      <c r="DX37" s="68"/>
      <c r="DY37" s="68"/>
      <c r="DZ37" s="68"/>
      <c r="EA37" s="68"/>
      <c r="EB37" s="68"/>
      <c r="EC37" s="68"/>
      <c r="ED37" s="68"/>
      <c r="EE37" s="68"/>
      <c r="EF37" s="68"/>
      <c r="EG37" s="68"/>
      <c r="EH37" s="68"/>
      <c r="EI37" s="68"/>
      <c r="EJ37" s="68"/>
      <c r="EK37" s="68"/>
      <c r="EL37" s="68"/>
      <c r="EM37" s="68"/>
      <c r="EN37" s="68"/>
      <c r="EO37" s="68"/>
      <c r="EP37" s="68"/>
      <c r="EQ37" s="68"/>
      <c r="ER37" s="68"/>
      <c r="ES37" s="68"/>
      <c r="ET37" s="68"/>
      <c r="EU37" s="68"/>
      <c r="EV37" s="68"/>
      <c r="EW37" s="68"/>
      <c r="EX37" s="68"/>
      <c r="EY37" s="68"/>
      <c r="EZ37" s="68"/>
      <c r="FA37" s="68"/>
      <c r="FB37" s="68"/>
      <c r="FC37" s="68"/>
      <c r="FD37" s="68"/>
      <c r="FE37" s="68"/>
      <c r="FF37" s="68"/>
      <c r="FG37" s="68"/>
      <c r="FH37" s="68"/>
      <c r="FI37" s="68"/>
      <c r="FJ37" s="68"/>
      <c r="FK37" s="68"/>
      <c r="FL37" s="68"/>
      <c r="FM37" s="68"/>
      <c r="FN37" s="68"/>
    </row>
    <row r="38" spans="1:170" s="1" customFormat="1" ht="14" x14ac:dyDescent="0.3">
      <c r="E38" s="17"/>
      <c r="F38" s="17"/>
      <c r="G38" s="17"/>
      <c r="H38" s="17"/>
      <c r="I38" s="17"/>
      <c r="J38" s="17"/>
      <c r="K38" s="17"/>
      <c r="L38" s="17"/>
      <c r="M38" s="18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</row>
    <row r="39" spans="1:170" s="1" customFormat="1" ht="14" x14ac:dyDescent="0.3">
      <c r="A39" s="325" t="s">
        <v>29</v>
      </c>
      <c r="B39" s="325"/>
      <c r="E39" s="17">
        <v>829368</v>
      </c>
      <c r="F39" s="17">
        <v>1102040</v>
      </c>
      <c r="G39" s="17">
        <v>672641</v>
      </c>
      <c r="H39" s="17">
        <v>814391</v>
      </c>
      <c r="I39" s="17">
        <v>797112</v>
      </c>
      <c r="J39" s="17">
        <v>695583</v>
      </c>
      <c r="K39" s="17">
        <v>784814</v>
      </c>
      <c r="L39" s="17">
        <v>834152</v>
      </c>
      <c r="M39" s="18">
        <v>959280</v>
      </c>
      <c r="N39" s="17">
        <f>M39</f>
        <v>959280</v>
      </c>
      <c r="O39" s="17">
        <f t="shared" ref="O39:AN39" si="24">N39</f>
        <v>959280</v>
      </c>
      <c r="P39" s="17">
        <f t="shared" si="24"/>
        <v>959280</v>
      </c>
      <c r="Q39" s="17">
        <f t="shared" si="24"/>
        <v>959280</v>
      </c>
      <c r="R39" s="17">
        <f t="shared" si="24"/>
        <v>959280</v>
      </c>
      <c r="S39" s="17">
        <f t="shared" si="24"/>
        <v>959280</v>
      </c>
      <c r="T39" s="17">
        <f t="shared" si="24"/>
        <v>959280</v>
      </c>
      <c r="U39" s="17">
        <f t="shared" si="24"/>
        <v>959280</v>
      </c>
      <c r="V39" s="17">
        <f t="shared" si="24"/>
        <v>959280</v>
      </c>
      <c r="W39" s="17">
        <f t="shared" si="24"/>
        <v>959280</v>
      </c>
      <c r="X39" s="17">
        <f t="shared" si="24"/>
        <v>959280</v>
      </c>
      <c r="Y39" s="17">
        <f t="shared" si="24"/>
        <v>959280</v>
      </c>
      <c r="Z39" s="17">
        <f t="shared" si="24"/>
        <v>959280</v>
      </c>
      <c r="AA39" s="17">
        <f t="shared" si="24"/>
        <v>959280</v>
      </c>
      <c r="AB39" s="17">
        <f t="shared" si="24"/>
        <v>959280</v>
      </c>
      <c r="AC39" s="17">
        <f t="shared" si="24"/>
        <v>959280</v>
      </c>
      <c r="AD39" s="17">
        <f t="shared" si="24"/>
        <v>959280</v>
      </c>
      <c r="AE39" s="17">
        <f t="shared" si="24"/>
        <v>959280</v>
      </c>
      <c r="AF39" s="17">
        <f t="shared" si="24"/>
        <v>959280</v>
      </c>
      <c r="AG39" s="17">
        <f t="shared" si="24"/>
        <v>959280</v>
      </c>
      <c r="AH39" s="17">
        <f t="shared" si="24"/>
        <v>959280</v>
      </c>
      <c r="AI39" s="17">
        <f t="shared" si="24"/>
        <v>959280</v>
      </c>
      <c r="AJ39" s="17">
        <f t="shared" si="24"/>
        <v>959280</v>
      </c>
      <c r="AK39" s="17">
        <f t="shared" si="24"/>
        <v>959280</v>
      </c>
      <c r="AL39" s="17">
        <f t="shared" si="24"/>
        <v>959280</v>
      </c>
      <c r="AM39" s="17">
        <f t="shared" si="24"/>
        <v>959280</v>
      </c>
      <c r="AN39" s="17">
        <f t="shared" si="24"/>
        <v>959280</v>
      </c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</row>
    <row r="40" spans="1:170" s="1" customFormat="1" ht="14" x14ac:dyDescent="0.3">
      <c r="A40" s="34" t="s">
        <v>30</v>
      </c>
      <c r="B40" s="34"/>
      <c r="C40" s="19"/>
      <c r="D40" s="19"/>
      <c r="E40" s="21">
        <f t="shared" ref="E40:AN40" si="25">E39/E6</f>
        <v>2.3902942584784218E-2</v>
      </c>
      <c r="F40" s="21">
        <f t="shared" si="25"/>
        <v>2.8606949741282636E-2</v>
      </c>
      <c r="G40" s="21">
        <f t="shared" si="25"/>
        <v>1.7136639093373679E-2</v>
      </c>
      <c r="H40" s="21">
        <f t="shared" si="25"/>
        <v>1.987233348720897E-2</v>
      </c>
      <c r="I40" s="21">
        <f t="shared" si="25"/>
        <v>1.7056663368438519E-2</v>
      </c>
      <c r="J40" s="21">
        <f t="shared" si="25"/>
        <v>1.4735810604530645E-2</v>
      </c>
      <c r="K40" s="21">
        <f t="shared" si="25"/>
        <v>1.4607579512132872E-2</v>
      </c>
      <c r="L40" s="21">
        <f t="shared" si="25"/>
        <v>1.5269323627718608E-2</v>
      </c>
      <c r="M40" s="265">
        <f t="shared" si="25"/>
        <v>1.2686041097118255E-2</v>
      </c>
      <c r="N40" s="21">
        <f t="shared" si="25"/>
        <v>1.2686041090407571E-2</v>
      </c>
      <c r="O40" s="21">
        <f t="shared" si="25"/>
        <v>1.2686041090407571E-2</v>
      </c>
      <c r="P40" s="21">
        <f t="shared" si="25"/>
        <v>1.2686041090407571E-2</v>
      </c>
      <c r="Q40" s="21">
        <f t="shared" si="25"/>
        <v>1.2686041090407571E-2</v>
      </c>
      <c r="R40" s="21">
        <f t="shared" si="25"/>
        <v>1.2686041090407571E-2</v>
      </c>
      <c r="S40" s="21">
        <f t="shared" si="25"/>
        <v>1.2686041090407571E-2</v>
      </c>
      <c r="T40" s="21">
        <f t="shared" si="25"/>
        <v>1.2686041090407571E-2</v>
      </c>
      <c r="U40" s="21">
        <f t="shared" si="25"/>
        <v>1.2686041090407571E-2</v>
      </c>
      <c r="V40" s="21">
        <f t="shared" si="25"/>
        <v>1.2686041090407571E-2</v>
      </c>
      <c r="W40" s="21">
        <f t="shared" si="25"/>
        <v>1.2686041090407571E-2</v>
      </c>
      <c r="X40" s="21">
        <f t="shared" si="25"/>
        <v>1.2686041090407571E-2</v>
      </c>
      <c r="Y40" s="21">
        <f t="shared" si="25"/>
        <v>1.2686041090407571E-2</v>
      </c>
      <c r="Z40" s="21">
        <f t="shared" si="25"/>
        <v>1.2686041090407571E-2</v>
      </c>
      <c r="AA40" s="21">
        <f t="shared" si="25"/>
        <v>1.2686041090407571E-2</v>
      </c>
      <c r="AB40" s="21">
        <f t="shared" si="25"/>
        <v>1.2686041090407571E-2</v>
      </c>
      <c r="AC40" s="21">
        <f t="shared" si="25"/>
        <v>1.2686041090407571E-2</v>
      </c>
      <c r="AD40" s="21">
        <f t="shared" si="25"/>
        <v>1.2686041090407571E-2</v>
      </c>
      <c r="AE40" s="21">
        <f t="shared" si="25"/>
        <v>1.2686041090407571E-2</v>
      </c>
      <c r="AF40" s="21">
        <f t="shared" si="25"/>
        <v>1.2686041090407571E-2</v>
      </c>
      <c r="AG40" s="21">
        <f t="shared" si="25"/>
        <v>1.2686041090407571E-2</v>
      </c>
      <c r="AH40" s="21">
        <f t="shared" si="25"/>
        <v>1.2686041090407571E-2</v>
      </c>
      <c r="AI40" s="21">
        <f t="shared" si="25"/>
        <v>1.2686041090407571E-2</v>
      </c>
      <c r="AJ40" s="21">
        <f t="shared" si="25"/>
        <v>1.2686041090407571E-2</v>
      </c>
      <c r="AK40" s="21">
        <f t="shared" si="25"/>
        <v>1.2686041090407571E-2</v>
      </c>
      <c r="AL40" s="21">
        <f t="shared" si="25"/>
        <v>1.2686041090407571E-2</v>
      </c>
      <c r="AM40" s="21">
        <f t="shared" si="25"/>
        <v>1.2686041090407571E-2</v>
      </c>
      <c r="AN40" s="21">
        <f t="shared" si="25"/>
        <v>1.2686041090407571E-2</v>
      </c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</row>
    <row r="41" spans="1:170" s="1" customFormat="1" ht="14" x14ac:dyDescent="0.3">
      <c r="A41" s="35"/>
      <c r="B41" s="35"/>
      <c r="E41" s="17"/>
      <c r="F41" s="17"/>
      <c r="G41" s="17"/>
      <c r="H41" s="17"/>
      <c r="I41" s="17"/>
      <c r="J41" s="17"/>
      <c r="K41" s="17"/>
      <c r="L41" s="17"/>
      <c r="M41" s="18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</row>
    <row r="42" spans="1:170" s="1" customFormat="1" ht="14" x14ac:dyDescent="0.3">
      <c r="A42" s="325" t="s">
        <v>31</v>
      </c>
      <c r="B42" s="325"/>
      <c r="E42" s="17">
        <v>2441149</v>
      </c>
      <c r="F42" s="17">
        <v>2578108</v>
      </c>
      <c r="G42" s="17">
        <v>2600122</v>
      </c>
      <c r="H42" s="17">
        <v>2907040</v>
      </c>
      <c r="I42" s="17">
        <v>3105273</v>
      </c>
      <c r="J42" s="17">
        <v>2728798</v>
      </c>
      <c r="K42" s="36">
        <v>2952173</v>
      </c>
      <c r="L42" s="17">
        <v>3248925</v>
      </c>
      <c r="M42" s="18">
        <v>3736260</v>
      </c>
      <c r="N42" s="17">
        <f>M42</f>
        <v>3736260</v>
      </c>
      <c r="O42" s="17">
        <f t="shared" ref="O42:AN42" si="26">N42</f>
        <v>3736260</v>
      </c>
      <c r="P42" s="17">
        <f t="shared" si="26"/>
        <v>3736260</v>
      </c>
      <c r="Q42" s="17">
        <f t="shared" si="26"/>
        <v>3736260</v>
      </c>
      <c r="R42" s="17">
        <f t="shared" si="26"/>
        <v>3736260</v>
      </c>
      <c r="S42" s="17">
        <f t="shared" si="26"/>
        <v>3736260</v>
      </c>
      <c r="T42" s="17">
        <f t="shared" si="26"/>
        <v>3736260</v>
      </c>
      <c r="U42" s="17">
        <f t="shared" si="26"/>
        <v>3736260</v>
      </c>
      <c r="V42" s="17">
        <f t="shared" si="26"/>
        <v>3736260</v>
      </c>
      <c r="W42" s="17">
        <f t="shared" si="26"/>
        <v>3736260</v>
      </c>
      <c r="X42" s="17">
        <f t="shared" si="26"/>
        <v>3736260</v>
      </c>
      <c r="Y42" s="17">
        <f t="shared" si="26"/>
        <v>3736260</v>
      </c>
      <c r="Z42" s="17">
        <f t="shared" si="26"/>
        <v>3736260</v>
      </c>
      <c r="AA42" s="17">
        <f t="shared" si="26"/>
        <v>3736260</v>
      </c>
      <c r="AB42" s="17">
        <f t="shared" si="26"/>
        <v>3736260</v>
      </c>
      <c r="AC42" s="17">
        <f t="shared" si="26"/>
        <v>3736260</v>
      </c>
      <c r="AD42" s="17">
        <f t="shared" si="26"/>
        <v>3736260</v>
      </c>
      <c r="AE42" s="17">
        <f t="shared" si="26"/>
        <v>3736260</v>
      </c>
      <c r="AF42" s="17">
        <f t="shared" si="26"/>
        <v>3736260</v>
      </c>
      <c r="AG42" s="17">
        <f t="shared" si="26"/>
        <v>3736260</v>
      </c>
      <c r="AH42" s="17">
        <f t="shared" si="26"/>
        <v>3736260</v>
      </c>
      <c r="AI42" s="17">
        <f t="shared" si="26"/>
        <v>3736260</v>
      </c>
      <c r="AJ42" s="17">
        <f t="shared" si="26"/>
        <v>3736260</v>
      </c>
      <c r="AK42" s="17">
        <f t="shared" si="26"/>
        <v>3736260</v>
      </c>
      <c r="AL42" s="17">
        <f t="shared" si="26"/>
        <v>3736260</v>
      </c>
      <c r="AM42" s="17">
        <f t="shared" si="26"/>
        <v>3736260</v>
      </c>
      <c r="AN42" s="17">
        <f t="shared" si="26"/>
        <v>3736260</v>
      </c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</row>
    <row r="43" spans="1:170" s="1" customFormat="1" ht="14" x14ac:dyDescent="0.3">
      <c r="A43" s="37" t="s">
        <v>32</v>
      </c>
      <c r="B43" s="37"/>
      <c r="E43" s="21">
        <f t="shared" ref="E43:AN43" si="27">E42/E6</f>
        <v>7.0355553129495485E-2</v>
      </c>
      <c r="F43" s="21">
        <f t="shared" si="27"/>
        <v>6.6922984631772611E-2</v>
      </c>
      <c r="G43" s="21">
        <f t="shared" si="27"/>
        <v>6.624239722636735E-2</v>
      </c>
      <c r="H43" s="21">
        <f t="shared" si="27"/>
        <v>7.0936034829284664E-2</v>
      </c>
      <c r="I43" s="21">
        <f t="shared" si="27"/>
        <v>6.644686848034051E-2</v>
      </c>
      <c r="J43" s="21">
        <f t="shared" si="27"/>
        <v>5.7809133498118864E-2</v>
      </c>
      <c r="K43" s="38">
        <f t="shared" si="27"/>
        <v>5.4948181137278181E-2</v>
      </c>
      <c r="L43" s="38">
        <f t="shared" si="27"/>
        <v>5.9472239192839761E-2</v>
      </c>
      <c r="M43" s="268">
        <f t="shared" si="27"/>
        <v>4.9410336825034457E-2</v>
      </c>
      <c r="N43" s="38">
        <f t="shared" si="27"/>
        <v>4.9410336798897288E-2</v>
      </c>
      <c r="O43" s="38">
        <f t="shared" si="27"/>
        <v>4.9410336798897288E-2</v>
      </c>
      <c r="P43" s="38">
        <f t="shared" si="27"/>
        <v>4.9410336798897288E-2</v>
      </c>
      <c r="Q43" s="38">
        <f t="shared" si="27"/>
        <v>4.9410336798897288E-2</v>
      </c>
      <c r="R43" s="38">
        <f t="shared" si="27"/>
        <v>4.9410336798897288E-2</v>
      </c>
      <c r="S43" s="38">
        <f t="shared" si="27"/>
        <v>4.9410336798897288E-2</v>
      </c>
      <c r="T43" s="38">
        <f t="shared" si="27"/>
        <v>4.9410336798897288E-2</v>
      </c>
      <c r="U43" s="38">
        <f t="shared" si="27"/>
        <v>4.9410336798897288E-2</v>
      </c>
      <c r="V43" s="38">
        <f t="shared" si="27"/>
        <v>4.9410336798897288E-2</v>
      </c>
      <c r="W43" s="38">
        <f t="shared" si="27"/>
        <v>4.9410336798897288E-2</v>
      </c>
      <c r="X43" s="38">
        <f t="shared" si="27"/>
        <v>4.9410336798897288E-2</v>
      </c>
      <c r="Y43" s="38">
        <f t="shared" si="27"/>
        <v>4.9410336798897288E-2</v>
      </c>
      <c r="Z43" s="38">
        <f t="shared" si="27"/>
        <v>4.9410336798897288E-2</v>
      </c>
      <c r="AA43" s="38">
        <f t="shared" si="27"/>
        <v>4.9410336798897288E-2</v>
      </c>
      <c r="AB43" s="38">
        <f t="shared" si="27"/>
        <v>4.9410336798897288E-2</v>
      </c>
      <c r="AC43" s="38">
        <f t="shared" si="27"/>
        <v>4.9410336798897288E-2</v>
      </c>
      <c r="AD43" s="38">
        <f t="shared" si="27"/>
        <v>4.9410336798897288E-2</v>
      </c>
      <c r="AE43" s="38">
        <f t="shared" si="27"/>
        <v>4.9410336798897288E-2</v>
      </c>
      <c r="AF43" s="38">
        <f t="shared" si="27"/>
        <v>4.9410336798897288E-2</v>
      </c>
      <c r="AG43" s="38">
        <f t="shared" si="27"/>
        <v>4.9410336798897288E-2</v>
      </c>
      <c r="AH43" s="38">
        <f t="shared" si="27"/>
        <v>4.9410336798897288E-2</v>
      </c>
      <c r="AI43" s="38">
        <f t="shared" si="27"/>
        <v>4.9410336798897288E-2</v>
      </c>
      <c r="AJ43" s="38">
        <f t="shared" si="27"/>
        <v>4.9410336798897288E-2</v>
      </c>
      <c r="AK43" s="38">
        <f t="shared" si="27"/>
        <v>4.9410336798897288E-2</v>
      </c>
      <c r="AL43" s="38">
        <f t="shared" si="27"/>
        <v>4.9410336798897288E-2</v>
      </c>
      <c r="AM43" s="38">
        <f t="shared" si="27"/>
        <v>4.9410336798897288E-2</v>
      </c>
      <c r="AN43" s="38">
        <f t="shared" si="27"/>
        <v>4.9410336798897288E-2</v>
      </c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</row>
    <row r="44" spans="1:170" s="1" customFormat="1" ht="14" x14ac:dyDescent="0.3">
      <c r="A44" s="35"/>
      <c r="B44" s="35"/>
      <c r="E44" s="17"/>
      <c r="F44" s="17"/>
      <c r="G44" s="17"/>
      <c r="H44" s="17"/>
      <c r="I44" s="17"/>
      <c r="J44" s="17"/>
      <c r="K44" s="36"/>
      <c r="L44" s="17"/>
      <c r="M44" s="18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</row>
    <row r="45" spans="1:170" s="1" customFormat="1" ht="14" x14ac:dyDescent="0.3">
      <c r="A45" s="325" t="s">
        <v>33</v>
      </c>
      <c r="B45" s="325"/>
      <c r="E45" s="17">
        <f t="shared" ref="E45:K45" si="28">SUM(E48:E62)</f>
        <v>2515008</v>
      </c>
      <c r="F45" s="17">
        <f t="shared" si="28"/>
        <v>2807177</v>
      </c>
      <c r="G45" s="17">
        <f t="shared" si="28"/>
        <v>2882523</v>
      </c>
      <c r="H45" s="17">
        <f t="shared" si="28"/>
        <v>2890546</v>
      </c>
      <c r="I45" s="17">
        <f t="shared" si="28"/>
        <v>3188522</v>
      </c>
      <c r="J45" s="39">
        <f t="shared" si="28"/>
        <v>3055778</v>
      </c>
      <c r="K45" s="17">
        <f t="shared" si="28"/>
        <v>3097226.74</v>
      </c>
      <c r="L45" s="17">
        <f>SUM(L48:L62)</f>
        <v>3920723</v>
      </c>
      <c r="M45" s="18">
        <f>SUM(M48:M62)</f>
        <v>4411433</v>
      </c>
      <c r="N45" s="17">
        <f>SUM(N48:N62)</f>
        <v>4411433</v>
      </c>
      <c r="O45" s="17">
        <f>SUM(O48:O62)</f>
        <v>4411433</v>
      </c>
      <c r="P45" s="17">
        <f>SUM(P48:P62)</f>
        <v>4411433</v>
      </c>
      <c r="Q45" s="17">
        <f t="shared" ref="Q45:AN45" si="29">SUM(Q48:Q62)</f>
        <v>4411433</v>
      </c>
      <c r="R45" s="17">
        <f t="shared" si="29"/>
        <v>4411433</v>
      </c>
      <c r="S45" s="17">
        <f t="shared" si="29"/>
        <v>4411433</v>
      </c>
      <c r="T45" s="17">
        <f t="shared" si="29"/>
        <v>4411433</v>
      </c>
      <c r="U45" s="17">
        <f t="shared" si="29"/>
        <v>4411433</v>
      </c>
      <c r="V45" s="17">
        <f t="shared" si="29"/>
        <v>4411433</v>
      </c>
      <c r="W45" s="17">
        <f t="shared" si="29"/>
        <v>4411433</v>
      </c>
      <c r="X45" s="17">
        <f t="shared" si="29"/>
        <v>4411433</v>
      </c>
      <c r="Y45" s="17">
        <f t="shared" si="29"/>
        <v>4411433</v>
      </c>
      <c r="Z45" s="17">
        <f t="shared" si="29"/>
        <v>4411433</v>
      </c>
      <c r="AA45" s="17">
        <f t="shared" si="29"/>
        <v>4411433</v>
      </c>
      <c r="AB45" s="17">
        <f t="shared" si="29"/>
        <v>4411433</v>
      </c>
      <c r="AC45" s="17">
        <f t="shared" si="29"/>
        <v>4411433</v>
      </c>
      <c r="AD45" s="17">
        <f t="shared" si="29"/>
        <v>4411433</v>
      </c>
      <c r="AE45" s="17">
        <f t="shared" si="29"/>
        <v>4411433</v>
      </c>
      <c r="AF45" s="17">
        <f t="shared" si="29"/>
        <v>4411433</v>
      </c>
      <c r="AG45" s="17">
        <f t="shared" si="29"/>
        <v>4411433</v>
      </c>
      <c r="AH45" s="17">
        <f t="shared" si="29"/>
        <v>4411433</v>
      </c>
      <c r="AI45" s="17">
        <f t="shared" si="29"/>
        <v>4411433</v>
      </c>
      <c r="AJ45" s="17">
        <f t="shared" si="29"/>
        <v>4411433</v>
      </c>
      <c r="AK45" s="17">
        <f t="shared" si="29"/>
        <v>4411433</v>
      </c>
      <c r="AL45" s="17">
        <f t="shared" si="29"/>
        <v>4411433</v>
      </c>
      <c r="AM45" s="17">
        <f t="shared" si="29"/>
        <v>4411433</v>
      </c>
      <c r="AN45" s="17">
        <f t="shared" si="29"/>
        <v>4411433</v>
      </c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</row>
    <row r="46" spans="1:170" s="1" customFormat="1" ht="14" x14ac:dyDescent="0.3">
      <c r="A46" s="34" t="s">
        <v>34</v>
      </c>
      <c r="B46" s="34"/>
      <c r="C46" s="19"/>
      <c r="E46" s="21">
        <f>E45/E6</f>
        <v>7.2484219097280089E-2</v>
      </c>
      <c r="F46" s="21">
        <f>F45/F6</f>
        <v>7.2869198353856995E-2</v>
      </c>
      <c r="G46" s="21">
        <f>G45/G6</f>
        <v>7.3437028562559792E-2</v>
      </c>
      <c r="H46" s="21">
        <f>H45/H6</f>
        <v>7.0533557065485669E-2</v>
      </c>
      <c r="I46" s="21">
        <f>I45/I6</f>
        <v>6.8228236931397748E-2</v>
      </c>
      <c r="J46" s="21"/>
      <c r="K46" s="21">
        <f t="shared" ref="K46:AN46" si="30">K45/K6</f>
        <v>5.7648036186477417E-2</v>
      </c>
      <c r="L46" s="21">
        <f t="shared" si="30"/>
        <v>7.1769639516107112E-2</v>
      </c>
      <c r="M46" s="265">
        <f t="shared" si="30"/>
        <v>5.8339192243332165E-2</v>
      </c>
      <c r="N46" s="21">
        <f t="shared" si="30"/>
        <v>5.8339192212471788E-2</v>
      </c>
      <c r="O46" s="21">
        <f t="shared" si="30"/>
        <v>5.8339192212471788E-2</v>
      </c>
      <c r="P46" s="21">
        <f t="shared" si="30"/>
        <v>5.8339192212471788E-2</v>
      </c>
      <c r="Q46" s="21">
        <f t="shared" si="30"/>
        <v>5.8339192212471788E-2</v>
      </c>
      <c r="R46" s="21">
        <f t="shared" si="30"/>
        <v>5.8339192212471788E-2</v>
      </c>
      <c r="S46" s="21">
        <f t="shared" si="30"/>
        <v>5.8339192212471788E-2</v>
      </c>
      <c r="T46" s="21">
        <f t="shared" si="30"/>
        <v>5.8339192212471788E-2</v>
      </c>
      <c r="U46" s="21">
        <f t="shared" si="30"/>
        <v>5.8339192212471788E-2</v>
      </c>
      <c r="V46" s="21">
        <f t="shared" si="30"/>
        <v>5.8339192212471788E-2</v>
      </c>
      <c r="W46" s="21">
        <f t="shared" si="30"/>
        <v>5.8339192212471788E-2</v>
      </c>
      <c r="X46" s="21">
        <f t="shared" si="30"/>
        <v>5.8339192212471788E-2</v>
      </c>
      <c r="Y46" s="21">
        <f t="shared" si="30"/>
        <v>5.8339192212471788E-2</v>
      </c>
      <c r="Z46" s="21">
        <f t="shared" si="30"/>
        <v>5.8339192212471788E-2</v>
      </c>
      <c r="AA46" s="21">
        <f t="shared" si="30"/>
        <v>5.8339192212471788E-2</v>
      </c>
      <c r="AB46" s="21">
        <f t="shared" si="30"/>
        <v>5.8339192212471788E-2</v>
      </c>
      <c r="AC46" s="21">
        <f t="shared" si="30"/>
        <v>5.8339192212471788E-2</v>
      </c>
      <c r="AD46" s="21">
        <f t="shared" si="30"/>
        <v>5.8339192212471788E-2</v>
      </c>
      <c r="AE46" s="21">
        <f t="shared" si="30"/>
        <v>5.8339192212471788E-2</v>
      </c>
      <c r="AF46" s="21">
        <f t="shared" si="30"/>
        <v>5.8339192212471788E-2</v>
      </c>
      <c r="AG46" s="21">
        <f t="shared" si="30"/>
        <v>5.8339192212471788E-2</v>
      </c>
      <c r="AH46" s="21">
        <f t="shared" si="30"/>
        <v>5.8339192212471788E-2</v>
      </c>
      <c r="AI46" s="21">
        <f t="shared" si="30"/>
        <v>5.8339192212471788E-2</v>
      </c>
      <c r="AJ46" s="21">
        <f t="shared" si="30"/>
        <v>5.8339192212471788E-2</v>
      </c>
      <c r="AK46" s="21">
        <f t="shared" si="30"/>
        <v>5.8339192212471788E-2</v>
      </c>
      <c r="AL46" s="21">
        <f t="shared" si="30"/>
        <v>5.8339192212471788E-2</v>
      </c>
      <c r="AM46" s="21">
        <f t="shared" si="30"/>
        <v>5.8339192212471788E-2</v>
      </c>
      <c r="AN46" s="21">
        <f t="shared" si="30"/>
        <v>5.8339192212471788E-2</v>
      </c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</row>
    <row r="47" spans="1:170" s="1" customFormat="1" ht="14" x14ac:dyDescent="0.3">
      <c r="A47" s="35"/>
      <c r="B47" s="35"/>
      <c r="E47" s="17"/>
      <c r="F47" s="17"/>
      <c r="G47" s="17"/>
      <c r="H47" s="17"/>
      <c r="I47" s="17"/>
      <c r="K47" s="17"/>
      <c r="L47" s="17"/>
      <c r="M47" s="18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</row>
    <row r="48" spans="1:170" s="24" customFormat="1" ht="11.5" x14ac:dyDescent="0.25">
      <c r="A48" s="33" t="s">
        <v>35</v>
      </c>
      <c r="E48" s="28">
        <v>51175</v>
      </c>
      <c r="F48" s="28">
        <v>50043</v>
      </c>
      <c r="G48" s="28">
        <v>52705</v>
      </c>
      <c r="H48" s="28">
        <v>36656</v>
      </c>
      <c r="I48" s="28">
        <v>40144</v>
      </c>
      <c r="J48" s="40">
        <v>20615</v>
      </c>
      <c r="K48" s="40">
        <v>23350</v>
      </c>
      <c r="L48" s="28">
        <v>29500</v>
      </c>
      <c r="M48" s="267">
        <v>33924</v>
      </c>
      <c r="N48" s="28">
        <f t="shared" ref="N48:AC62" si="31">M48</f>
        <v>33924</v>
      </c>
      <c r="O48" s="28">
        <f t="shared" si="31"/>
        <v>33924</v>
      </c>
      <c r="P48" s="28">
        <f t="shared" si="31"/>
        <v>33924</v>
      </c>
      <c r="Q48" s="28">
        <f t="shared" si="31"/>
        <v>33924</v>
      </c>
      <c r="R48" s="28">
        <f t="shared" si="31"/>
        <v>33924</v>
      </c>
      <c r="S48" s="28">
        <f t="shared" si="31"/>
        <v>33924</v>
      </c>
      <c r="T48" s="28">
        <f t="shared" si="31"/>
        <v>33924</v>
      </c>
      <c r="U48" s="28">
        <f t="shared" si="31"/>
        <v>33924</v>
      </c>
      <c r="V48" s="28">
        <f t="shared" si="31"/>
        <v>33924</v>
      </c>
      <c r="W48" s="28">
        <f t="shared" si="31"/>
        <v>33924</v>
      </c>
      <c r="X48" s="28">
        <f t="shared" si="31"/>
        <v>33924</v>
      </c>
      <c r="Y48" s="28">
        <f t="shared" si="31"/>
        <v>33924</v>
      </c>
      <c r="Z48" s="28">
        <f t="shared" si="31"/>
        <v>33924</v>
      </c>
      <c r="AA48" s="28">
        <f t="shared" si="31"/>
        <v>33924</v>
      </c>
      <c r="AB48" s="28">
        <f t="shared" si="31"/>
        <v>33924</v>
      </c>
      <c r="AC48" s="28">
        <f t="shared" si="31"/>
        <v>33924</v>
      </c>
      <c r="AD48" s="28">
        <f t="shared" ref="O48:AN58" si="32">AC48</f>
        <v>33924</v>
      </c>
      <c r="AE48" s="28">
        <f t="shared" si="32"/>
        <v>33924</v>
      </c>
      <c r="AF48" s="28">
        <f t="shared" si="32"/>
        <v>33924</v>
      </c>
      <c r="AG48" s="28">
        <f t="shared" si="32"/>
        <v>33924</v>
      </c>
      <c r="AH48" s="28">
        <f t="shared" si="32"/>
        <v>33924</v>
      </c>
      <c r="AI48" s="28">
        <f t="shared" si="32"/>
        <v>33924</v>
      </c>
      <c r="AJ48" s="28">
        <f t="shared" si="32"/>
        <v>33924</v>
      </c>
      <c r="AK48" s="28">
        <f t="shared" si="32"/>
        <v>33924</v>
      </c>
      <c r="AL48" s="28">
        <f t="shared" si="32"/>
        <v>33924</v>
      </c>
      <c r="AM48" s="28">
        <f t="shared" si="32"/>
        <v>33924</v>
      </c>
      <c r="AN48" s="28">
        <f t="shared" si="32"/>
        <v>33924</v>
      </c>
      <c r="AO48" s="68"/>
      <c r="AP48" s="68"/>
      <c r="AQ48" s="68"/>
      <c r="AR48" s="68"/>
      <c r="AS48" s="68"/>
      <c r="AT48" s="68"/>
      <c r="AU48" s="68"/>
      <c r="AV48" s="68"/>
      <c r="AW48" s="68"/>
      <c r="AX48" s="68"/>
      <c r="AY48" s="68"/>
      <c r="AZ48" s="68"/>
      <c r="BA48" s="68"/>
      <c r="BB48" s="68"/>
      <c r="BC48" s="68"/>
      <c r="BD48" s="68"/>
      <c r="BE48" s="68"/>
      <c r="BF48" s="68"/>
      <c r="BG48" s="68"/>
      <c r="BH48" s="68"/>
      <c r="BI48" s="68"/>
      <c r="BJ48" s="68"/>
      <c r="BK48" s="68"/>
      <c r="BL48" s="68"/>
      <c r="BM48" s="68"/>
      <c r="BN48" s="68"/>
      <c r="BO48" s="68"/>
      <c r="BP48" s="68"/>
      <c r="BQ48" s="68"/>
      <c r="BR48" s="68"/>
      <c r="BS48" s="68"/>
      <c r="BT48" s="68"/>
      <c r="BU48" s="68"/>
      <c r="BV48" s="68"/>
      <c r="BW48" s="68"/>
      <c r="BX48" s="68"/>
      <c r="BY48" s="68"/>
      <c r="BZ48" s="68"/>
      <c r="CA48" s="68"/>
      <c r="CB48" s="68"/>
      <c r="CC48" s="68"/>
      <c r="CD48" s="68"/>
      <c r="CE48" s="68"/>
      <c r="CF48" s="68"/>
      <c r="CG48" s="68"/>
      <c r="CH48" s="68"/>
      <c r="CI48" s="68"/>
      <c r="CJ48" s="68"/>
      <c r="CK48" s="68"/>
      <c r="CL48" s="68"/>
      <c r="CM48" s="68"/>
      <c r="CN48" s="68"/>
      <c r="CO48" s="68"/>
      <c r="CP48" s="68"/>
      <c r="CQ48" s="68"/>
      <c r="CR48" s="68"/>
      <c r="CS48" s="68"/>
      <c r="CT48" s="68"/>
      <c r="CU48" s="68"/>
      <c r="CV48" s="68"/>
      <c r="CW48" s="68"/>
      <c r="CX48" s="68"/>
      <c r="CY48" s="68"/>
      <c r="CZ48" s="68"/>
      <c r="DA48" s="68"/>
      <c r="DB48" s="68"/>
      <c r="DC48" s="68"/>
      <c r="DD48" s="68"/>
      <c r="DE48" s="68"/>
      <c r="DF48" s="68"/>
      <c r="DG48" s="68"/>
      <c r="DH48" s="68"/>
      <c r="DI48" s="68"/>
      <c r="DJ48" s="68"/>
      <c r="DK48" s="68"/>
      <c r="DL48" s="68"/>
      <c r="DM48" s="68"/>
      <c r="DN48" s="68"/>
      <c r="DO48" s="68"/>
      <c r="DP48" s="68"/>
      <c r="DQ48" s="68"/>
      <c r="DR48" s="68"/>
      <c r="DS48" s="68"/>
      <c r="DT48" s="68"/>
      <c r="DU48" s="68"/>
      <c r="DV48" s="68"/>
      <c r="DW48" s="68"/>
      <c r="DX48" s="68"/>
      <c r="DY48" s="68"/>
      <c r="DZ48" s="68"/>
      <c r="EA48" s="68"/>
      <c r="EB48" s="68"/>
      <c r="EC48" s="68"/>
      <c r="ED48" s="68"/>
      <c r="EE48" s="68"/>
      <c r="EF48" s="68"/>
      <c r="EG48" s="68"/>
      <c r="EH48" s="68"/>
      <c r="EI48" s="68"/>
      <c r="EJ48" s="68"/>
      <c r="EK48" s="68"/>
      <c r="EL48" s="68"/>
      <c r="EM48" s="68"/>
      <c r="EN48" s="68"/>
      <c r="EO48" s="68"/>
      <c r="EP48" s="68"/>
      <c r="EQ48" s="68"/>
      <c r="ER48" s="68"/>
      <c r="ES48" s="68"/>
      <c r="ET48" s="68"/>
      <c r="EU48" s="68"/>
      <c r="EV48" s="68"/>
      <c r="EW48" s="68"/>
      <c r="EX48" s="68"/>
      <c r="EY48" s="68"/>
      <c r="EZ48" s="68"/>
      <c r="FA48" s="68"/>
      <c r="FB48" s="68"/>
      <c r="FC48" s="68"/>
      <c r="FD48" s="68"/>
      <c r="FE48" s="68"/>
      <c r="FF48" s="68"/>
      <c r="FG48" s="68"/>
      <c r="FH48" s="68"/>
      <c r="FI48" s="68"/>
      <c r="FJ48" s="68"/>
      <c r="FK48" s="68"/>
      <c r="FL48" s="68"/>
      <c r="FM48" s="68"/>
      <c r="FN48" s="68"/>
    </row>
    <row r="49" spans="1:170" s="24" customFormat="1" ht="11.5" x14ac:dyDescent="0.25">
      <c r="A49" s="33" t="s">
        <v>36</v>
      </c>
      <c r="C49" s="70"/>
      <c r="E49" s="28">
        <v>6239</v>
      </c>
      <c r="F49" s="28">
        <v>10117</v>
      </c>
      <c r="G49" s="28">
        <v>10551</v>
      </c>
      <c r="H49" s="28">
        <v>8104</v>
      </c>
      <c r="I49" s="28">
        <v>10186</v>
      </c>
      <c r="J49" s="40">
        <v>3874</v>
      </c>
      <c r="K49" s="40">
        <v>3655</v>
      </c>
      <c r="L49" s="28">
        <v>8173</v>
      </c>
      <c r="M49" s="267">
        <v>9396</v>
      </c>
      <c r="N49" s="28">
        <f t="shared" si="31"/>
        <v>9396</v>
      </c>
      <c r="O49" s="28">
        <f t="shared" si="32"/>
        <v>9396</v>
      </c>
      <c r="P49" s="28">
        <f t="shared" si="32"/>
        <v>9396</v>
      </c>
      <c r="Q49" s="28">
        <f t="shared" si="32"/>
        <v>9396</v>
      </c>
      <c r="R49" s="28">
        <f t="shared" si="32"/>
        <v>9396</v>
      </c>
      <c r="S49" s="28">
        <f t="shared" si="32"/>
        <v>9396</v>
      </c>
      <c r="T49" s="28">
        <f t="shared" si="32"/>
        <v>9396</v>
      </c>
      <c r="U49" s="28">
        <f t="shared" si="32"/>
        <v>9396</v>
      </c>
      <c r="V49" s="28">
        <f t="shared" si="32"/>
        <v>9396</v>
      </c>
      <c r="W49" s="28">
        <f t="shared" si="32"/>
        <v>9396</v>
      </c>
      <c r="X49" s="28">
        <f t="shared" si="32"/>
        <v>9396</v>
      </c>
      <c r="Y49" s="28">
        <f t="shared" si="32"/>
        <v>9396</v>
      </c>
      <c r="Z49" s="28">
        <f t="shared" si="32"/>
        <v>9396</v>
      </c>
      <c r="AA49" s="28">
        <f t="shared" si="32"/>
        <v>9396</v>
      </c>
      <c r="AB49" s="28">
        <f t="shared" si="32"/>
        <v>9396</v>
      </c>
      <c r="AC49" s="28">
        <f t="shared" si="32"/>
        <v>9396</v>
      </c>
      <c r="AD49" s="28">
        <f t="shared" si="32"/>
        <v>9396</v>
      </c>
      <c r="AE49" s="28">
        <f t="shared" si="32"/>
        <v>9396</v>
      </c>
      <c r="AF49" s="28">
        <f t="shared" si="32"/>
        <v>9396</v>
      </c>
      <c r="AG49" s="28">
        <f t="shared" si="32"/>
        <v>9396</v>
      </c>
      <c r="AH49" s="28">
        <f t="shared" si="32"/>
        <v>9396</v>
      </c>
      <c r="AI49" s="28">
        <f t="shared" si="32"/>
        <v>9396</v>
      </c>
      <c r="AJ49" s="28">
        <f t="shared" si="32"/>
        <v>9396</v>
      </c>
      <c r="AK49" s="28">
        <f t="shared" si="32"/>
        <v>9396</v>
      </c>
      <c r="AL49" s="28">
        <f t="shared" si="32"/>
        <v>9396</v>
      </c>
      <c r="AM49" s="28">
        <f t="shared" si="32"/>
        <v>9396</v>
      </c>
      <c r="AN49" s="28">
        <f t="shared" si="32"/>
        <v>9396</v>
      </c>
      <c r="AO49" s="68"/>
      <c r="AP49" s="68"/>
      <c r="AQ49" s="68"/>
      <c r="AR49" s="68"/>
      <c r="AS49" s="68"/>
      <c r="AT49" s="68"/>
      <c r="AU49" s="68"/>
      <c r="AV49" s="68"/>
      <c r="AW49" s="68"/>
      <c r="AX49" s="68"/>
      <c r="AY49" s="68"/>
      <c r="AZ49" s="68"/>
      <c r="BA49" s="68"/>
      <c r="BB49" s="68"/>
      <c r="BC49" s="68"/>
      <c r="BD49" s="68"/>
      <c r="BE49" s="68"/>
      <c r="BF49" s="68"/>
      <c r="BG49" s="68"/>
      <c r="BH49" s="68"/>
      <c r="BI49" s="68"/>
      <c r="BJ49" s="68"/>
      <c r="BK49" s="68"/>
      <c r="BL49" s="68"/>
      <c r="BM49" s="68"/>
      <c r="BN49" s="68"/>
      <c r="BO49" s="68"/>
      <c r="BP49" s="68"/>
      <c r="BQ49" s="68"/>
      <c r="BR49" s="68"/>
      <c r="BS49" s="68"/>
      <c r="BT49" s="68"/>
      <c r="BU49" s="68"/>
      <c r="BV49" s="68"/>
      <c r="BW49" s="68"/>
      <c r="BX49" s="68"/>
      <c r="BY49" s="68"/>
      <c r="BZ49" s="68"/>
      <c r="CA49" s="68"/>
      <c r="CB49" s="68"/>
      <c r="CC49" s="68"/>
      <c r="CD49" s="68"/>
      <c r="CE49" s="68"/>
      <c r="CF49" s="68"/>
      <c r="CG49" s="68"/>
      <c r="CH49" s="68"/>
      <c r="CI49" s="68"/>
      <c r="CJ49" s="68"/>
      <c r="CK49" s="68"/>
      <c r="CL49" s="68"/>
      <c r="CM49" s="68"/>
      <c r="CN49" s="68"/>
      <c r="CO49" s="68"/>
      <c r="CP49" s="68"/>
      <c r="CQ49" s="68"/>
      <c r="CR49" s="68"/>
      <c r="CS49" s="68"/>
      <c r="CT49" s="68"/>
      <c r="CU49" s="68"/>
      <c r="CV49" s="68"/>
      <c r="CW49" s="68"/>
      <c r="CX49" s="68"/>
      <c r="CY49" s="68"/>
      <c r="CZ49" s="68"/>
      <c r="DA49" s="68"/>
      <c r="DB49" s="68"/>
      <c r="DC49" s="68"/>
      <c r="DD49" s="68"/>
      <c r="DE49" s="68"/>
      <c r="DF49" s="68"/>
      <c r="DG49" s="68"/>
      <c r="DH49" s="68"/>
      <c r="DI49" s="68"/>
      <c r="DJ49" s="68"/>
      <c r="DK49" s="68"/>
      <c r="DL49" s="68"/>
      <c r="DM49" s="68"/>
      <c r="DN49" s="68"/>
      <c r="DO49" s="68"/>
      <c r="DP49" s="68"/>
      <c r="DQ49" s="68"/>
      <c r="DR49" s="68"/>
      <c r="DS49" s="68"/>
      <c r="DT49" s="68"/>
      <c r="DU49" s="68"/>
      <c r="DV49" s="68"/>
      <c r="DW49" s="68"/>
      <c r="DX49" s="68"/>
      <c r="DY49" s="68"/>
      <c r="DZ49" s="68"/>
      <c r="EA49" s="68"/>
      <c r="EB49" s="68"/>
      <c r="EC49" s="68"/>
      <c r="ED49" s="68"/>
      <c r="EE49" s="68"/>
      <c r="EF49" s="68"/>
      <c r="EG49" s="68"/>
      <c r="EH49" s="68"/>
      <c r="EI49" s="68"/>
      <c r="EJ49" s="68"/>
      <c r="EK49" s="68"/>
      <c r="EL49" s="68"/>
      <c r="EM49" s="68"/>
      <c r="EN49" s="68"/>
      <c r="EO49" s="68"/>
      <c r="EP49" s="68"/>
      <c r="EQ49" s="68"/>
      <c r="ER49" s="68"/>
      <c r="ES49" s="68"/>
      <c r="ET49" s="68"/>
      <c r="EU49" s="68"/>
      <c r="EV49" s="68"/>
      <c r="EW49" s="68"/>
      <c r="EX49" s="68"/>
      <c r="EY49" s="68"/>
      <c r="EZ49" s="68"/>
      <c r="FA49" s="68"/>
      <c r="FB49" s="68"/>
      <c r="FC49" s="68"/>
      <c r="FD49" s="68"/>
      <c r="FE49" s="68"/>
      <c r="FF49" s="68"/>
      <c r="FG49" s="68"/>
      <c r="FH49" s="68"/>
      <c r="FI49" s="68"/>
      <c r="FJ49" s="68"/>
      <c r="FK49" s="68"/>
      <c r="FL49" s="68"/>
      <c r="FM49" s="68"/>
      <c r="FN49" s="68"/>
    </row>
    <row r="50" spans="1:170" s="24" customFormat="1" ht="10.5" customHeight="1" x14ac:dyDescent="0.25">
      <c r="A50" s="351" t="s">
        <v>37</v>
      </c>
      <c r="B50" s="351"/>
      <c r="C50" s="70"/>
      <c r="E50" s="28">
        <v>2266429</v>
      </c>
      <c r="F50" s="28">
        <v>2254243</v>
      </c>
      <c r="G50" s="28">
        <v>2220994</v>
      </c>
      <c r="H50" s="28">
        <v>2275623</v>
      </c>
      <c r="I50" s="28">
        <v>2654542</v>
      </c>
      <c r="J50" s="41">
        <v>2353356</v>
      </c>
      <c r="K50" s="40">
        <v>2458266</v>
      </c>
      <c r="L50" s="28">
        <v>3089706</v>
      </c>
      <c r="M50" s="267">
        <v>3455777</v>
      </c>
      <c r="N50" s="28">
        <f t="shared" si="31"/>
        <v>3455777</v>
      </c>
      <c r="O50" s="28">
        <f t="shared" si="32"/>
        <v>3455777</v>
      </c>
      <c r="P50" s="28">
        <f t="shared" si="32"/>
        <v>3455777</v>
      </c>
      <c r="Q50" s="28">
        <f t="shared" si="32"/>
        <v>3455777</v>
      </c>
      <c r="R50" s="28">
        <f t="shared" si="32"/>
        <v>3455777</v>
      </c>
      <c r="S50" s="28">
        <f t="shared" si="32"/>
        <v>3455777</v>
      </c>
      <c r="T50" s="28">
        <f t="shared" si="32"/>
        <v>3455777</v>
      </c>
      <c r="U50" s="28">
        <f t="shared" si="32"/>
        <v>3455777</v>
      </c>
      <c r="V50" s="28">
        <f t="shared" si="32"/>
        <v>3455777</v>
      </c>
      <c r="W50" s="28">
        <f t="shared" si="32"/>
        <v>3455777</v>
      </c>
      <c r="X50" s="28">
        <f t="shared" si="32"/>
        <v>3455777</v>
      </c>
      <c r="Y50" s="28">
        <f t="shared" si="32"/>
        <v>3455777</v>
      </c>
      <c r="Z50" s="28">
        <f t="shared" si="32"/>
        <v>3455777</v>
      </c>
      <c r="AA50" s="28">
        <f t="shared" si="32"/>
        <v>3455777</v>
      </c>
      <c r="AB50" s="28">
        <f t="shared" si="32"/>
        <v>3455777</v>
      </c>
      <c r="AC50" s="28">
        <f t="shared" si="32"/>
        <v>3455777</v>
      </c>
      <c r="AD50" s="28">
        <f t="shared" si="32"/>
        <v>3455777</v>
      </c>
      <c r="AE50" s="28">
        <f t="shared" si="32"/>
        <v>3455777</v>
      </c>
      <c r="AF50" s="28">
        <f t="shared" si="32"/>
        <v>3455777</v>
      </c>
      <c r="AG50" s="28">
        <f t="shared" si="32"/>
        <v>3455777</v>
      </c>
      <c r="AH50" s="28">
        <f t="shared" si="32"/>
        <v>3455777</v>
      </c>
      <c r="AI50" s="28">
        <f t="shared" si="32"/>
        <v>3455777</v>
      </c>
      <c r="AJ50" s="28">
        <f t="shared" si="32"/>
        <v>3455777</v>
      </c>
      <c r="AK50" s="28">
        <f t="shared" si="32"/>
        <v>3455777</v>
      </c>
      <c r="AL50" s="28">
        <f t="shared" si="32"/>
        <v>3455777</v>
      </c>
      <c r="AM50" s="28">
        <f t="shared" si="32"/>
        <v>3455777</v>
      </c>
      <c r="AN50" s="28">
        <f t="shared" si="32"/>
        <v>3455777</v>
      </c>
      <c r="AO50" s="68"/>
      <c r="AP50" s="68"/>
      <c r="AQ50" s="68"/>
      <c r="AR50" s="68"/>
      <c r="AS50" s="68"/>
      <c r="AT50" s="68"/>
      <c r="AU50" s="68"/>
      <c r="AV50" s="68"/>
      <c r="AW50" s="68"/>
      <c r="AX50" s="68"/>
      <c r="AY50" s="68"/>
      <c r="AZ50" s="68"/>
      <c r="BA50" s="68"/>
      <c r="BB50" s="68"/>
      <c r="BC50" s="68"/>
      <c r="BD50" s="68"/>
      <c r="BE50" s="68"/>
      <c r="BF50" s="68"/>
      <c r="BG50" s="68"/>
      <c r="BH50" s="68"/>
      <c r="BI50" s="68"/>
      <c r="BJ50" s="68"/>
      <c r="BK50" s="68"/>
      <c r="BL50" s="68"/>
      <c r="BM50" s="68"/>
      <c r="BN50" s="68"/>
      <c r="BO50" s="68"/>
      <c r="BP50" s="68"/>
      <c r="BQ50" s="68"/>
      <c r="BR50" s="68"/>
      <c r="BS50" s="68"/>
      <c r="BT50" s="68"/>
      <c r="BU50" s="68"/>
      <c r="BV50" s="68"/>
      <c r="BW50" s="68"/>
      <c r="BX50" s="68"/>
      <c r="BY50" s="68"/>
      <c r="BZ50" s="68"/>
      <c r="CA50" s="68"/>
      <c r="CB50" s="68"/>
      <c r="CC50" s="68"/>
      <c r="CD50" s="68"/>
      <c r="CE50" s="68"/>
      <c r="CF50" s="68"/>
      <c r="CG50" s="68"/>
      <c r="CH50" s="68"/>
      <c r="CI50" s="68"/>
      <c r="CJ50" s="68"/>
      <c r="CK50" s="68"/>
      <c r="CL50" s="68"/>
      <c r="CM50" s="68"/>
      <c r="CN50" s="68"/>
      <c r="CO50" s="68"/>
      <c r="CP50" s="68"/>
      <c r="CQ50" s="68"/>
      <c r="CR50" s="68"/>
      <c r="CS50" s="68"/>
      <c r="CT50" s="68"/>
      <c r="CU50" s="68"/>
      <c r="CV50" s="68"/>
      <c r="CW50" s="68"/>
      <c r="CX50" s="68"/>
      <c r="CY50" s="68"/>
      <c r="CZ50" s="68"/>
      <c r="DA50" s="68"/>
      <c r="DB50" s="68"/>
      <c r="DC50" s="68"/>
      <c r="DD50" s="68"/>
      <c r="DE50" s="68"/>
      <c r="DF50" s="68"/>
      <c r="DG50" s="68"/>
      <c r="DH50" s="68"/>
      <c r="DI50" s="68"/>
      <c r="DJ50" s="68"/>
      <c r="DK50" s="68"/>
      <c r="DL50" s="68"/>
      <c r="DM50" s="68"/>
      <c r="DN50" s="68"/>
      <c r="DO50" s="68"/>
      <c r="DP50" s="68"/>
      <c r="DQ50" s="68"/>
      <c r="DR50" s="68"/>
      <c r="DS50" s="68"/>
      <c r="DT50" s="68"/>
      <c r="DU50" s="68"/>
      <c r="DV50" s="68"/>
      <c r="DW50" s="68"/>
      <c r="DX50" s="68"/>
      <c r="DY50" s="68"/>
      <c r="DZ50" s="68"/>
      <c r="EA50" s="68"/>
      <c r="EB50" s="68"/>
      <c r="EC50" s="68"/>
      <c r="ED50" s="68"/>
      <c r="EE50" s="68"/>
      <c r="EF50" s="68"/>
      <c r="EG50" s="68"/>
      <c r="EH50" s="68"/>
      <c r="EI50" s="68"/>
      <c r="EJ50" s="68"/>
      <c r="EK50" s="68"/>
      <c r="EL50" s="68"/>
      <c r="EM50" s="68"/>
      <c r="EN50" s="68"/>
      <c r="EO50" s="68"/>
      <c r="EP50" s="68"/>
      <c r="EQ50" s="68"/>
      <c r="ER50" s="68"/>
      <c r="ES50" s="68"/>
      <c r="ET50" s="68"/>
      <c r="EU50" s="68"/>
      <c r="EV50" s="68"/>
      <c r="EW50" s="68"/>
      <c r="EX50" s="68"/>
      <c r="EY50" s="68"/>
      <c r="EZ50" s="68"/>
      <c r="FA50" s="68"/>
      <c r="FB50" s="68"/>
      <c r="FC50" s="68"/>
      <c r="FD50" s="68"/>
      <c r="FE50" s="68"/>
      <c r="FF50" s="68"/>
      <c r="FG50" s="68"/>
      <c r="FH50" s="68"/>
      <c r="FI50" s="68"/>
      <c r="FJ50" s="68"/>
      <c r="FK50" s="68"/>
      <c r="FL50" s="68"/>
      <c r="FM50" s="68"/>
      <c r="FN50" s="68"/>
    </row>
    <row r="51" spans="1:170" s="24" customFormat="1" ht="11.5" x14ac:dyDescent="0.25">
      <c r="A51" s="33" t="s">
        <v>38</v>
      </c>
      <c r="E51" s="28">
        <v>3420</v>
      </c>
      <c r="F51" s="28">
        <v>3097</v>
      </c>
      <c r="G51" s="28">
        <v>3407</v>
      </c>
      <c r="H51" s="28">
        <v>3078</v>
      </c>
      <c r="I51" s="28">
        <v>4155</v>
      </c>
      <c r="J51" s="42">
        <v>4577</v>
      </c>
      <c r="K51" s="28">
        <v>3805.97</v>
      </c>
      <c r="L51" s="28">
        <v>3900</v>
      </c>
      <c r="M51" s="267">
        <v>4200</v>
      </c>
      <c r="N51" s="28">
        <f t="shared" si="31"/>
        <v>4200</v>
      </c>
      <c r="O51" s="28">
        <f t="shared" si="32"/>
        <v>4200</v>
      </c>
      <c r="P51" s="28">
        <f t="shared" si="32"/>
        <v>4200</v>
      </c>
      <c r="Q51" s="28">
        <f t="shared" si="32"/>
        <v>4200</v>
      </c>
      <c r="R51" s="28">
        <f t="shared" si="32"/>
        <v>4200</v>
      </c>
      <c r="S51" s="28">
        <f t="shared" si="32"/>
        <v>4200</v>
      </c>
      <c r="T51" s="28">
        <f t="shared" si="32"/>
        <v>4200</v>
      </c>
      <c r="U51" s="28">
        <f t="shared" si="32"/>
        <v>4200</v>
      </c>
      <c r="V51" s="28">
        <f t="shared" si="32"/>
        <v>4200</v>
      </c>
      <c r="W51" s="28">
        <f t="shared" si="32"/>
        <v>4200</v>
      </c>
      <c r="X51" s="28">
        <f t="shared" si="32"/>
        <v>4200</v>
      </c>
      <c r="Y51" s="28">
        <f t="shared" si="32"/>
        <v>4200</v>
      </c>
      <c r="Z51" s="28">
        <f t="shared" si="32"/>
        <v>4200</v>
      </c>
      <c r="AA51" s="28">
        <f t="shared" si="32"/>
        <v>4200</v>
      </c>
      <c r="AB51" s="28">
        <f t="shared" si="32"/>
        <v>4200</v>
      </c>
      <c r="AC51" s="28">
        <f t="shared" si="32"/>
        <v>4200</v>
      </c>
      <c r="AD51" s="28">
        <f t="shared" si="32"/>
        <v>4200</v>
      </c>
      <c r="AE51" s="28">
        <f t="shared" si="32"/>
        <v>4200</v>
      </c>
      <c r="AF51" s="28">
        <f t="shared" si="32"/>
        <v>4200</v>
      </c>
      <c r="AG51" s="28">
        <f t="shared" si="32"/>
        <v>4200</v>
      </c>
      <c r="AH51" s="28">
        <f t="shared" si="32"/>
        <v>4200</v>
      </c>
      <c r="AI51" s="28">
        <f t="shared" si="32"/>
        <v>4200</v>
      </c>
      <c r="AJ51" s="28">
        <f t="shared" si="32"/>
        <v>4200</v>
      </c>
      <c r="AK51" s="28">
        <f t="shared" si="32"/>
        <v>4200</v>
      </c>
      <c r="AL51" s="28">
        <f t="shared" si="32"/>
        <v>4200</v>
      </c>
      <c r="AM51" s="28">
        <f t="shared" si="32"/>
        <v>4200</v>
      </c>
      <c r="AN51" s="28">
        <f t="shared" si="32"/>
        <v>4200</v>
      </c>
      <c r="AO51" s="68"/>
      <c r="AP51" s="68"/>
      <c r="AQ51" s="68"/>
      <c r="AR51" s="68"/>
      <c r="AS51" s="68"/>
      <c r="AT51" s="68"/>
      <c r="AU51" s="68"/>
      <c r="AV51" s="68"/>
      <c r="AW51" s="68"/>
      <c r="AX51" s="68"/>
      <c r="AY51" s="68"/>
      <c r="AZ51" s="68"/>
      <c r="BA51" s="68"/>
      <c r="BB51" s="68"/>
      <c r="BC51" s="68"/>
      <c r="BD51" s="68"/>
      <c r="BE51" s="68"/>
      <c r="BF51" s="68"/>
      <c r="BG51" s="68"/>
      <c r="BH51" s="68"/>
      <c r="BI51" s="68"/>
      <c r="BJ51" s="68"/>
      <c r="BK51" s="68"/>
      <c r="BL51" s="68"/>
      <c r="BM51" s="68"/>
      <c r="BN51" s="68"/>
      <c r="BO51" s="68"/>
      <c r="BP51" s="68"/>
      <c r="BQ51" s="68"/>
      <c r="BR51" s="68"/>
      <c r="BS51" s="68"/>
      <c r="BT51" s="68"/>
      <c r="BU51" s="68"/>
      <c r="BV51" s="68"/>
      <c r="BW51" s="68"/>
      <c r="BX51" s="68"/>
      <c r="BY51" s="68"/>
      <c r="BZ51" s="68"/>
      <c r="CA51" s="68"/>
      <c r="CB51" s="68"/>
      <c r="CC51" s="68"/>
      <c r="CD51" s="68"/>
      <c r="CE51" s="68"/>
      <c r="CF51" s="68"/>
      <c r="CG51" s="68"/>
      <c r="CH51" s="68"/>
      <c r="CI51" s="68"/>
      <c r="CJ51" s="68"/>
      <c r="CK51" s="68"/>
      <c r="CL51" s="68"/>
      <c r="CM51" s="68"/>
      <c r="CN51" s="68"/>
      <c r="CO51" s="68"/>
      <c r="CP51" s="68"/>
      <c r="CQ51" s="68"/>
      <c r="CR51" s="68"/>
      <c r="CS51" s="68"/>
      <c r="CT51" s="68"/>
      <c r="CU51" s="68"/>
      <c r="CV51" s="68"/>
      <c r="CW51" s="68"/>
      <c r="CX51" s="68"/>
      <c r="CY51" s="68"/>
      <c r="CZ51" s="68"/>
      <c r="DA51" s="68"/>
      <c r="DB51" s="68"/>
      <c r="DC51" s="68"/>
      <c r="DD51" s="68"/>
      <c r="DE51" s="68"/>
      <c r="DF51" s="68"/>
      <c r="DG51" s="68"/>
      <c r="DH51" s="68"/>
      <c r="DI51" s="68"/>
      <c r="DJ51" s="68"/>
      <c r="DK51" s="68"/>
      <c r="DL51" s="68"/>
      <c r="DM51" s="68"/>
      <c r="DN51" s="68"/>
      <c r="DO51" s="68"/>
      <c r="DP51" s="68"/>
      <c r="DQ51" s="68"/>
      <c r="DR51" s="68"/>
      <c r="DS51" s="68"/>
      <c r="DT51" s="68"/>
      <c r="DU51" s="68"/>
      <c r="DV51" s="68"/>
      <c r="DW51" s="68"/>
      <c r="DX51" s="68"/>
      <c r="DY51" s="68"/>
      <c r="DZ51" s="68"/>
      <c r="EA51" s="68"/>
      <c r="EB51" s="68"/>
      <c r="EC51" s="68"/>
      <c r="ED51" s="68"/>
      <c r="EE51" s="68"/>
      <c r="EF51" s="68"/>
      <c r="EG51" s="68"/>
      <c r="EH51" s="68"/>
      <c r="EI51" s="68"/>
      <c r="EJ51" s="68"/>
      <c r="EK51" s="68"/>
      <c r="EL51" s="68"/>
      <c r="EM51" s="68"/>
      <c r="EN51" s="68"/>
      <c r="EO51" s="68"/>
      <c r="EP51" s="68"/>
      <c r="EQ51" s="68"/>
      <c r="ER51" s="68"/>
      <c r="ES51" s="68"/>
      <c r="ET51" s="68"/>
      <c r="EU51" s="68"/>
      <c r="EV51" s="68"/>
      <c r="EW51" s="68"/>
      <c r="EX51" s="68"/>
      <c r="EY51" s="68"/>
      <c r="EZ51" s="68"/>
      <c r="FA51" s="68"/>
      <c r="FB51" s="68"/>
      <c r="FC51" s="68"/>
      <c r="FD51" s="68"/>
      <c r="FE51" s="68"/>
      <c r="FF51" s="68"/>
      <c r="FG51" s="68"/>
      <c r="FH51" s="68"/>
      <c r="FI51" s="68"/>
      <c r="FJ51" s="68"/>
      <c r="FK51" s="68"/>
      <c r="FL51" s="68"/>
      <c r="FM51" s="68"/>
      <c r="FN51" s="68"/>
    </row>
    <row r="52" spans="1:170" s="24" customFormat="1" ht="11.5" x14ac:dyDescent="0.25">
      <c r="A52" s="33" t="s">
        <v>39</v>
      </c>
      <c r="E52" s="28">
        <v>10515</v>
      </c>
      <c r="F52" s="28">
        <v>10601</v>
      </c>
      <c r="G52" s="28">
        <v>10601</v>
      </c>
      <c r="H52" s="28">
        <v>10601</v>
      </c>
      <c r="I52" s="28">
        <v>10601</v>
      </c>
      <c r="J52" s="42">
        <v>45315</v>
      </c>
      <c r="K52" s="28">
        <v>45316.37</v>
      </c>
      <c r="L52" s="28">
        <v>45316</v>
      </c>
      <c r="M52" s="267">
        <v>48000</v>
      </c>
      <c r="N52" s="28">
        <f t="shared" si="31"/>
        <v>48000</v>
      </c>
      <c r="O52" s="28">
        <f t="shared" si="32"/>
        <v>48000</v>
      </c>
      <c r="P52" s="28">
        <f t="shared" si="32"/>
        <v>48000</v>
      </c>
      <c r="Q52" s="28">
        <f t="shared" si="32"/>
        <v>48000</v>
      </c>
      <c r="R52" s="28">
        <f t="shared" si="32"/>
        <v>48000</v>
      </c>
      <c r="S52" s="28">
        <f t="shared" si="32"/>
        <v>48000</v>
      </c>
      <c r="T52" s="28">
        <f t="shared" si="32"/>
        <v>48000</v>
      </c>
      <c r="U52" s="28">
        <f t="shared" si="32"/>
        <v>48000</v>
      </c>
      <c r="V52" s="28">
        <f t="shared" si="32"/>
        <v>48000</v>
      </c>
      <c r="W52" s="28">
        <f t="shared" si="32"/>
        <v>48000</v>
      </c>
      <c r="X52" s="28">
        <f t="shared" si="32"/>
        <v>48000</v>
      </c>
      <c r="Y52" s="28">
        <f t="shared" si="32"/>
        <v>48000</v>
      </c>
      <c r="Z52" s="28">
        <f t="shared" si="32"/>
        <v>48000</v>
      </c>
      <c r="AA52" s="28">
        <f t="shared" si="32"/>
        <v>48000</v>
      </c>
      <c r="AB52" s="28">
        <f t="shared" si="32"/>
        <v>48000</v>
      </c>
      <c r="AC52" s="28">
        <f t="shared" si="32"/>
        <v>48000</v>
      </c>
      <c r="AD52" s="28">
        <f t="shared" si="32"/>
        <v>48000</v>
      </c>
      <c r="AE52" s="28">
        <f t="shared" si="32"/>
        <v>48000</v>
      </c>
      <c r="AF52" s="28">
        <f t="shared" si="32"/>
        <v>48000</v>
      </c>
      <c r="AG52" s="28">
        <f t="shared" si="32"/>
        <v>48000</v>
      </c>
      <c r="AH52" s="28">
        <f t="shared" si="32"/>
        <v>48000</v>
      </c>
      <c r="AI52" s="28">
        <f t="shared" si="32"/>
        <v>48000</v>
      </c>
      <c r="AJ52" s="28">
        <f t="shared" si="32"/>
        <v>48000</v>
      </c>
      <c r="AK52" s="28">
        <f t="shared" si="32"/>
        <v>48000</v>
      </c>
      <c r="AL52" s="28">
        <f t="shared" si="32"/>
        <v>48000</v>
      </c>
      <c r="AM52" s="28">
        <f t="shared" si="32"/>
        <v>48000</v>
      </c>
      <c r="AN52" s="28">
        <f t="shared" si="32"/>
        <v>48000</v>
      </c>
      <c r="AO52" s="68"/>
      <c r="AP52" s="68"/>
      <c r="AQ52" s="68"/>
      <c r="AR52" s="68"/>
      <c r="AS52" s="68"/>
      <c r="AT52" s="68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8"/>
      <c r="BI52" s="68"/>
      <c r="BJ52" s="68"/>
      <c r="BK52" s="68"/>
      <c r="BL52" s="68"/>
      <c r="BM52" s="68"/>
      <c r="BN52" s="68"/>
      <c r="BO52" s="68"/>
      <c r="BP52" s="68"/>
      <c r="BQ52" s="68"/>
      <c r="BR52" s="68"/>
      <c r="BS52" s="68"/>
      <c r="BT52" s="68"/>
      <c r="BU52" s="68"/>
      <c r="BV52" s="68"/>
      <c r="BW52" s="68"/>
      <c r="BX52" s="68"/>
      <c r="BY52" s="68"/>
      <c r="BZ52" s="68"/>
      <c r="CA52" s="68"/>
      <c r="CB52" s="68"/>
      <c r="CC52" s="68"/>
      <c r="CD52" s="68"/>
      <c r="CE52" s="68"/>
      <c r="CF52" s="68"/>
      <c r="CG52" s="68"/>
      <c r="CH52" s="68"/>
      <c r="CI52" s="68"/>
      <c r="CJ52" s="68"/>
      <c r="CK52" s="68"/>
      <c r="CL52" s="68"/>
      <c r="CM52" s="68"/>
      <c r="CN52" s="68"/>
      <c r="CO52" s="68"/>
      <c r="CP52" s="68"/>
      <c r="CQ52" s="68"/>
      <c r="CR52" s="68"/>
      <c r="CS52" s="68"/>
      <c r="CT52" s="68"/>
      <c r="CU52" s="68"/>
      <c r="CV52" s="68"/>
      <c r="CW52" s="68"/>
      <c r="CX52" s="68"/>
      <c r="CY52" s="68"/>
      <c r="CZ52" s="68"/>
      <c r="DA52" s="68"/>
      <c r="DB52" s="68"/>
      <c r="DC52" s="68"/>
      <c r="DD52" s="68"/>
      <c r="DE52" s="68"/>
      <c r="DF52" s="68"/>
      <c r="DG52" s="68"/>
      <c r="DH52" s="68"/>
      <c r="DI52" s="68"/>
      <c r="DJ52" s="68"/>
      <c r="DK52" s="68"/>
      <c r="DL52" s="68"/>
      <c r="DM52" s="68"/>
      <c r="DN52" s="68"/>
      <c r="DO52" s="68"/>
      <c r="DP52" s="68"/>
      <c r="DQ52" s="68"/>
      <c r="DR52" s="68"/>
      <c r="DS52" s="68"/>
      <c r="DT52" s="68"/>
      <c r="DU52" s="68"/>
      <c r="DV52" s="68"/>
      <c r="DW52" s="68"/>
      <c r="DX52" s="68"/>
      <c r="DY52" s="68"/>
      <c r="DZ52" s="68"/>
      <c r="EA52" s="68"/>
      <c r="EB52" s="68"/>
      <c r="EC52" s="68"/>
      <c r="ED52" s="68"/>
      <c r="EE52" s="68"/>
      <c r="EF52" s="68"/>
      <c r="EG52" s="68"/>
      <c r="EH52" s="68"/>
      <c r="EI52" s="68"/>
      <c r="EJ52" s="68"/>
      <c r="EK52" s="68"/>
      <c r="EL52" s="68"/>
      <c r="EM52" s="68"/>
      <c r="EN52" s="68"/>
      <c r="EO52" s="68"/>
      <c r="EP52" s="68"/>
      <c r="EQ52" s="68"/>
      <c r="ER52" s="68"/>
      <c r="ES52" s="68"/>
      <c r="ET52" s="68"/>
      <c r="EU52" s="68"/>
      <c r="EV52" s="68"/>
      <c r="EW52" s="68"/>
      <c r="EX52" s="68"/>
      <c r="EY52" s="68"/>
      <c r="EZ52" s="68"/>
      <c r="FA52" s="68"/>
      <c r="FB52" s="68"/>
      <c r="FC52" s="68"/>
      <c r="FD52" s="68"/>
      <c r="FE52" s="68"/>
      <c r="FF52" s="68"/>
      <c r="FG52" s="68"/>
      <c r="FH52" s="68"/>
      <c r="FI52" s="68"/>
      <c r="FJ52" s="68"/>
      <c r="FK52" s="68"/>
      <c r="FL52" s="68"/>
      <c r="FM52" s="68"/>
      <c r="FN52" s="68"/>
    </row>
    <row r="53" spans="1:170" s="24" customFormat="1" ht="11.5" x14ac:dyDescent="0.25">
      <c r="A53" s="33" t="s">
        <v>40</v>
      </c>
      <c r="E53" s="28">
        <v>2535</v>
      </c>
      <c r="F53" s="28">
        <v>3494</v>
      </c>
      <c r="G53" s="28">
        <v>4136</v>
      </c>
      <c r="H53" s="28">
        <v>4447</v>
      </c>
      <c r="I53" s="28">
        <v>4221</v>
      </c>
      <c r="J53" s="42">
        <v>6956</v>
      </c>
      <c r="K53" s="28">
        <v>6478.73</v>
      </c>
      <c r="L53" s="28">
        <v>5463</v>
      </c>
      <c r="M53" s="267">
        <v>10680</v>
      </c>
      <c r="N53" s="28">
        <f t="shared" si="31"/>
        <v>10680</v>
      </c>
      <c r="O53" s="28">
        <f t="shared" si="32"/>
        <v>10680</v>
      </c>
      <c r="P53" s="28">
        <f t="shared" si="32"/>
        <v>10680</v>
      </c>
      <c r="Q53" s="28">
        <f t="shared" si="32"/>
        <v>10680</v>
      </c>
      <c r="R53" s="28">
        <f t="shared" si="32"/>
        <v>10680</v>
      </c>
      <c r="S53" s="28">
        <f t="shared" si="32"/>
        <v>10680</v>
      </c>
      <c r="T53" s="28">
        <f t="shared" si="32"/>
        <v>10680</v>
      </c>
      <c r="U53" s="28">
        <f t="shared" si="32"/>
        <v>10680</v>
      </c>
      <c r="V53" s="28">
        <f t="shared" si="32"/>
        <v>10680</v>
      </c>
      <c r="W53" s="28">
        <f t="shared" si="32"/>
        <v>10680</v>
      </c>
      <c r="X53" s="28">
        <f t="shared" si="32"/>
        <v>10680</v>
      </c>
      <c r="Y53" s="28">
        <f t="shared" si="32"/>
        <v>10680</v>
      </c>
      <c r="Z53" s="28">
        <f t="shared" si="32"/>
        <v>10680</v>
      </c>
      <c r="AA53" s="28">
        <f t="shared" si="32"/>
        <v>10680</v>
      </c>
      <c r="AB53" s="28">
        <f t="shared" si="32"/>
        <v>10680</v>
      </c>
      <c r="AC53" s="28">
        <f t="shared" si="32"/>
        <v>10680</v>
      </c>
      <c r="AD53" s="28">
        <f t="shared" si="32"/>
        <v>10680</v>
      </c>
      <c r="AE53" s="28">
        <f t="shared" si="32"/>
        <v>10680</v>
      </c>
      <c r="AF53" s="28">
        <f t="shared" si="32"/>
        <v>10680</v>
      </c>
      <c r="AG53" s="28">
        <f t="shared" si="32"/>
        <v>10680</v>
      </c>
      <c r="AH53" s="28">
        <f t="shared" si="32"/>
        <v>10680</v>
      </c>
      <c r="AI53" s="28">
        <f t="shared" si="32"/>
        <v>10680</v>
      </c>
      <c r="AJ53" s="28">
        <f t="shared" si="32"/>
        <v>10680</v>
      </c>
      <c r="AK53" s="28">
        <f t="shared" si="32"/>
        <v>10680</v>
      </c>
      <c r="AL53" s="28">
        <f t="shared" si="32"/>
        <v>10680</v>
      </c>
      <c r="AM53" s="28">
        <f t="shared" si="32"/>
        <v>10680</v>
      </c>
      <c r="AN53" s="28">
        <f t="shared" si="32"/>
        <v>10680</v>
      </c>
      <c r="AO53" s="68"/>
      <c r="AP53" s="68"/>
      <c r="AQ53" s="68"/>
      <c r="AR53" s="68"/>
      <c r="AS53" s="68"/>
      <c r="AT53" s="68"/>
      <c r="AU53" s="68"/>
      <c r="AV53" s="68"/>
      <c r="AW53" s="68"/>
      <c r="AX53" s="68"/>
      <c r="AY53" s="68"/>
      <c r="AZ53" s="68"/>
      <c r="BA53" s="68"/>
      <c r="BB53" s="68"/>
      <c r="BC53" s="68"/>
      <c r="BD53" s="68"/>
      <c r="BE53" s="68"/>
      <c r="BF53" s="68"/>
      <c r="BG53" s="68"/>
      <c r="BH53" s="68"/>
      <c r="BI53" s="68"/>
      <c r="BJ53" s="68"/>
      <c r="BK53" s="68"/>
      <c r="BL53" s="68"/>
      <c r="BM53" s="68"/>
      <c r="BN53" s="68"/>
      <c r="BO53" s="68"/>
      <c r="BP53" s="68"/>
      <c r="BQ53" s="68"/>
      <c r="BR53" s="68"/>
      <c r="BS53" s="68"/>
      <c r="BT53" s="68"/>
      <c r="BU53" s="68"/>
      <c r="BV53" s="68"/>
      <c r="BW53" s="68"/>
      <c r="BX53" s="68"/>
      <c r="BY53" s="68"/>
      <c r="BZ53" s="68"/>
      <c r="CA53" s="68"/>
      <c r="CB53" s="68"/>
      <c r="CC53" s="68"/>
      <c r="CD53" s="68"/>
      <c r="CE53" s="68"/>
      <c r="CF53" s="68"/>
      <c r="CG53" s="68"/>
      <c r="CH53" s="68"/>
      <c r="CI53" s="68"/>
      <c r="CJ53" s="68"/>
      <c r="CK53" s="68"/>
      <c r="CL53" s="68"/>
      <c r="CM53" s="68"/>
      <c r="CN53" s="68"/>
      <c r="CO53" s="68"/>
      <c r="CP53" s="68"/>
      <c r="CQ53" s="68"/>
      <c r="CR53" s="68"/>
      <c r="CS53" s="68"/>
      <c r="CT53" s="68"/>
      <c r="CU53" s="68"/>
      <c r="CV53" s="68"/>
      <c r="CW53" s="68"/>
      <c r="CX53" s="68"/>
      <c r="CY53" s="68"/>
      <c r="CZ53" s="68"/>
      <c r="DA53" s="68"/>
      <c r="DB53" s="68"/>
      <c r="DC53" s="68"/>
      <c r="DD53" s="68"/>
      <c r="DE53" s="68"/>
      <c r="DF53" s="68"/>
      <c r="DG53" s="68"/>
      <c r="DH53" s="68"/>
      <c r="DI53" s="68"/>
      <c r="DJ53" s="68"/>
      <c r="DK53" s="68"/>
      <c r="DL53" s="68"/>
      <c r="DM53" s="68"/>
      <c r="DN53" s="68"/>
      <c r="DO53" s="68"/>
      <c r="DP53" s="68"/>
      <c r="DQ53" s="68"/>
      <c r="DR53" s="68"/>
      <c r="DS53" s="68"/>
      <c r="DT53" s="68"/>
      <c r="DU53" s="68"/>
      <c r="DV53" s="68"/>
      <c r="DW53" s="68"/>
      <c r="DX53" s="68"/>
      <c r="DY53" s="68"/>
      <c r="DZ53" s="68"/>
      <c r="EA53" s="68"/>
      <c r="EB53" s="68"/>
      <c r="EC53" s="68"/>
      <c r="ED53" s="68"/>
      <c r="EE53" s="68"/>
      <c r="EF53" s="68"/>
      <c r="EG53" s="68"/>
      <c r="EH53" s="68"/>
      <c r="EI53" s="68"/>
      <c r="EJ53" s="68"/>
      <c r="EK53" s="68"/>
      <c r="EL53" s="68"/>
      <c r="EM53" s="68"/>
      <c r="EN53" s="68"/>
      <c r="EO53" s="68"/>
      <c r="EP53" s="68"/>
      <c r="EQ53" s="68"/>
      <c r="ER53" s="68"/>
      <c r="ES53" s="68"/>
      <c r="ET53" s="68"/>
      <c r="EU53" s="68"/>
      <c r="EV53" s="68"/>
      <c r="EW53" s="68"/>
      <c r="EX53" s="68"/>
      <c r="EY53" s="68"/>
      <c r="EZ53" s="68"/>
      <c r="FA53" s="68"/>
      <c r="FB53" s="68"/>
      <c r="FC53" s="68"/>
      <c r="FD53" s="68"/>
      <c r="FE53" s="68"/>
      <c r="FF53" s="68"/>
      <c r="FG53" s="68"/>
      <c r="FH53" s="68"/>
      <c r="FI53" s="68"/>
      <c r="FJ53" s="68"/>
      <c r="FK53" s="68"/>
      <c r="FL53" s="68"/>
      <c r="FM53" s="68"/>
      <c r="FN53" s="68"/>
    </row>
    <row r="54" spans="1:170" s="24" customFormat="1" ht="11.5" x14ac:dyDescent="0.25">
      <c r="A54" s="43" t="s">
        <v>41</v>
      </c>
      <c r="E54" s="28">
        <v>2084</v>
      </c>
      <c r="F54" s="28">
        <v>120</v>
      </c>
      <c r="G54" s="28">
        <v>1081</v>
      </c>
      <c r="H54" s="28">
        <v>41</v>
      </c>
      <c r="I54" s="28">
        <v>15</v>
      </c>
      <c r="J54" s="42">
        <v>5189</v>
      </c>
      <c r="K54" s="28">
        <v>66810.98</v>
      </c>
      <c r="L54" s="28"/>
      <c r="M54" s="267"/>
      <c r="N54" s="28">
        <f t="shared" si="31"/>
        <v>0</v>
      </c>
      <c r="O54" s="28">
        <f t="shared" si="32"/>
        <v>0</v>
      </c>
      <c r="P54" s="28">
        <f t="shared" si="32"/>
        <v>0</v>
      </c>
      <c r="Q54" s="28">
        <f t="shared" si="32"/>
        <v>0</v>
      </c>
      <c r="R54" s="28">
        <f t="shared" si="32"/>
        <v>0</v>
      </c>
      <c r="S54" s="28">
        <f t="shared" si="32"/>
        <v>0</v>
      </c>
      <c r="T54" s="28">
        <f t="shared" si="32"/>
        <v>0</v>
      </c>
      <c r="U54" s="28">
        <f t="shared" si="32"/>
        <v>0</v>
      </c>
      <c r="V54" s="28">
        <f t="shared" si="32"/>
        <v>0</v>
      </c>
      <c r="W54" s="28">
        <f t="shared" si="32"/>
        <v>0</v>
      </c>
      <c r="X54" s="28">
        <f t="shared" si="32"/>
        <v>0</v>
      </c>
      <c r="Y54" s="28">
        <f t="shared" si="32"/>
        <v>0</v>
      </c>
      <c r="Z54" s="28">
        <f t="shared" si="32"/>
        <v>0</v>
      </c>
      <c r="AA54" s="28">
        <f t="shared" si="32"/>
        <v>0</v>
      </c>
      <c r="AB54" s="28">
        <f t="shared" si="32"/>
        <v>0</v>
      </c>
      <c r="AC54" s="28">
        <f t="shared" si="32"/>
        <v>0</v>
      </c>
      <c r="AD54" s="28">
        <f t="shared" si="32"/>
        <v>0</v>
      </c>
      <c r="AE54" s="28">
        <f t="shared" si="32"/>
        <v>0</v>
      </c>
      <c r="AF54" s="28">
        <f t="shared" si="32"/>
        <v>0</v>
      </c>
      <c r="AG54" s="28">
        <f t="shared" si="32"/>
        <v>0</v>
      </c>
      <c r="AH54" s="28">
        <f t="shared" si="32"/>
        <v>0</v>
      </c>
      <c r="AI54" s="28">
        <f t="shared" si="32"/>
        <v>0</v>
      </c>
      <c r="AJ54" s="28">
        <f t="shared" si="32"/>
        <v>0</v>
      </c>
      <c r="AK54" s="28">
        <f t="shared" si="32"/>
        <v>0</v>
      </c>
      <c r="AL54" s="28">
        <f t="shared" si="32"/>
        <v>0</v>
      </c>
      <c r="AM54" s="28">
        <f t="shared" si="32"/>
        <v>0</v>
      </c>
      <c r="AN54" s="28">
        <f t="shared" si="32"/>
        <v>0</v>
      </c>
      <c r="AO54" s="68"/>
      <c r="AP54" s="68"/>
      <c r="AQ54" s="68"/>
      <c r="AR54" s="68"/>
      <c r="AS54" s="68"/>
      <c r="AT54" s="68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  <c r="BG54" s="68"/>
      <c r="BH54" s="68"/>
      <c r="BI54" s="68"/>
      <c r="BJ54" s="68"/>
      <c r="BK54" s="68"/>
      <c r="BL54" s="68"/>
      <c r="BM54" s="68"/>
      <c r="BN54" s="68"/>
      <c r="BO54" s="68"/>
      <c r="BP54" s="68"/>
      <c r="BQ54" s="68"/>
      <c r="BR54" s="68"/>
      <c r="BS54" s="68"/>
      <c r="BT54" s="68"/>
      <c r="BU54" s="68"/>
      <c r="BV54" s="68"/>
      <c r="BW54" s="68"/>
      <c r="BX54" s="68"/>
      <c r="BY54" s="68"/>
      <c r="BZ54" s="68"/>
      <c r="CA54" s="68"/>
      <c r="CB54" s="68"/>
      <c r="CC54" s="68"/>
      <c r="CD54" s="68"/>
      <c r="CE54" s="68"/>
      <c r="CF54" s="68"/>
      <c r="CG54" s="68"/>
      <c r="CH54" s="68"/>
      <c r="CI54" s="68"/>
      <c r="CJ54" s="68"/>
      <c r="CK54" s="68"/>
      <c r="CL54" s="68"/>
      <c r="CM54" s="68"/>
      <c r="CN54" s="68"/>
      <c r="CO54" s="68"/>
      <c r="CP54" s="68"/>
      <c r="CQ54" s="68"/>
      <c r="CR54" s="68"/>
      <c r="CS54" s="68"/>
      <c r="CT54" s="68"/>
      <c r="CU54" s="68"/>
      <c r="CV54" s="68"/>
      <c r="CW54" s="68"/>
      <c r="CX54" s="68"/>
      <c r="CY54" s="68"/>
      <c r="CZ54" s="68"/>
      <c r="DA54" s="68"/>
      <c r="DB54" s="68"/>
      <c r="DC54" s="68"/>
      <c r="DD54" s="68"/>
      <c r="DE54" s="68"/>
      <c r="DF54" s="68"/>
      <c r="DG54" s="68"/>
      <c r="DH54" s="68"/>
      <c r="DI54" s="68"/>
      <c r="DJ54" s="68"/>
      <c r="DK54" s="68"/>
      <c r="DL54" s="68"/>
      <c r="DM54" s="68"/>
      <c r="DN54" s="68"/>
      <c r="DO54" s="68"/>
      <c r="DP54" s="68"/>
      <c r="DQ54" s="68"/>
      <c r="DR54" s="68"/>
      <c r="DS54" s="68"/>
      <c r="DT54" s="68"/>
      <c r="DU54" s="68"/>
      <c r="DV54" s="68"/>
      <c r="DW54" s="68"/>
      <c r="DX54" s="68"/>
      <c r="DY54" s="68"/>
      <c r="DZ54" s="68"/>
      <c r="EA54" s="68"/>
      <c r="EB54" s="68"/>
      <c r="EC54" s="68"/>
      <c r="ED54" s="68"/>
      <c r="EE54" s="68"/>
      <c r="EF54" s="68"/>
      <c r="EG54" s="68"/>
      <c r="EH54" s="68"/>
      <c r="EI54" s="68"/>
      <c r="EJ54" s="68"/>
      <c r="EK54" s="68"/>
      <c r="EL54" s="68"/>
      <c r="EM54" s="68"/>
      <c r="EN54" s="68"/>
      <c r="EO54" s="68"/>
      <c r="EP54" s="68"/>
      <c r="EQ54" s="68"/>
      <c r="ER54" s="68"/>
      <c r="ES54" s="68"/>
      <c r="ET54" s="68"/>
      <c r="EU54" s="68"/>
      <c r="EV54" s="68"/>
      <c r="EW54" s="68"/>
      <c r="EX54" s="68"/>
      <c r="EY54" s="68"/>
      <c r="EZ54" s="68"/>
      <c r="FA54" s="68"/>
      <c r="FB54" s="68"/>
      <c r="FC54" s="68"/>
      <c r="FD54" s="68"/>
      <c r="FE54" s="68"/>
      <c r="FF54" s="68"/>
      <c r="FG54" s="68"/>
      <c r="FH54" s="68"/>
      <c r="FI54" s="68"/>
      <c r="FJ54" s="68"/>
      <c r="FK54" s="68"/>
      <c r="FL54" s="68"/>
      <c r="FM54" s="68"/>
      <c r="FN54" s="68"/>
    </row>
    <row r="55" spans="1:170" s="24" customFormat="1" ht="11.5" x14ac:dyDescent="0.25">
      <c r="A55" s="43" t="s">
        <v>42</v>
      </c>
      <c r="E55" s="28">
        <v>856</v>
      </c>
      <c r="F55" s="28">
        <v>111</v>
      </c>
      <c r="G55" s="28">
        <v>1172</v>
      </c>
      <c r="H55" s="28">
        <v>1182</v>
      </c>
      <c r="I55" s="28">
        <v>1421</v>
      </c>
      <c r="J55" s="42">
        <v>2526</v>
      </c>
      <c r="K55" s="28">
        <v>2870.88</v>
      </c>
      <c r="L55" s="28"/>
      <c r="M55" s="267"/>
      <c r="N55" s="28">
        <f t="shared" si="31"/>
        <v>0</v>
      </c>
      <c r="O55" s="28">
        <f t="shared" si="32"/>
        <v>0</v>
      </c>
      <c r="P55" s="28">
        <f t="shared" si="32"/>
        <v>0</v>
      </c>
      <c r="Q55" s="28">
        <f t="shared" si="32"/>
        <v>0</v>
      </c>
      <c r="R55" s="28">
        <f t="shared" si="32"/>
        <v>0</v>
      </c>
      <c r="S55" s="28">
        <f t="shared" si="32"/>
        <v>0</v>
      </c>
      <c r="T55" s="28">
        <f t="shared" si="32"/>
        <v>0</v>
      </c>
      <c r="U55" s="28">
        <f t="shared" si="32"/>
        <v>0</v>
      </c>
      <c r="V55" s="28">
        <f t="shared" si="32"/>
        <v>0</v>
      </c>
      <c r="W55" s="28">
        <f t="shared" si="32"/>
        <v>0</v>
      </c>
      <c r="X55" s="28">
        <f t="shared" si="32"/>
        <v>0</v>
      </c>
      <c r="Y55" s="28">
        <f t="shared" si="32"/>
        <v>0</v>
      </c>
      <c r="Z55" s="28">
        <f t="shared" si="32"/>
        <v>0</v>
      </c>
      <c r="AA55" s="28">
        <f t="shared" si="32"/>
        <v>0</v>
      </c>
      <c r="AB55" s="28">
        <f t="shared" si="32"/>
        <v>0</v>
      </c>
      <c r="AC55" s="28">
        <f t="shared" si="32"/>
        <v>0</v>
      </c>
      <c r="AD55" s="28">
        <f t="shared" si="32"/>
        <v>0</v>
      </c>
      <c r="AE55" s="28">
        <f t="shared" si="32"/>
        <v>0</v>
      </c>
      <c r="AF55" s="28">
        <f t="shared" si="32"/>
        <v>0</v>
      </c>
      <c r="AG55" s="28">
        <f t="shared" si="32"/>
        <v>0</v>
      </c>
      <c r="AH55" s="28">
        <f t="shared" si="32"/>
        <v>0</v>
      </c>
      <c r="AI55" s="28">
        <f t="shared" si="32"/>
        <v>0</v>
      </c>
      <c r="AJ55" s="28">
        <f t="shared" si="32"/>
        <v>0</v>
      </c>
      <c r="AK55" s="28">
        <f t="shared" si="32"/>
        <v>0</v>
      </c>
      <c r="AL55" s="28">
        <f t="shared" si="32"/>
        <v>0</v>
      </c>
      <c r="AM55" s="28">
        <f t="shared" si="32"/>
        <v>0</v>
      </c>
      <c r="AN55" s="28">
        <f t="shared" si="32"/>
        <v>0</v>
      </c>
      <c r="AO55" s="68"/>
      <c r="AP55" s="68"/>
      <c r="AQ55" s="68"/>
      <c r="AR55" s="68"/>
      <c r="AS55" s="68"/>
      <c r="AT55" s="68"/>
      <c r="AU55" s="68"/>
      <c r="AV55" s="68"/>
      <c r="AW55" s="68"/>
      <c r="AX55" s="68"/>
      <c r="AY55" s="68"/>
      <c r="AZ55" s="68"/>
      <c r="BA55" s="68"/>
      <c r="BB55" s="68"/>
      <c r="BC55" s="68"/>
      <c r="BD55" s="68"/>
      <c r="BE55" s="68"/>
      <c r="BF55" s="68"/>
      <c r="BG55" s="68"/>
      <c r="BH55" s="68"/>
      <c r="BI55" s="68"/>
      <c r="BJ55" s="68"/>
      <c r="BK55" s="68"/>
      <c r="BL55" s="68"/>
      <c r="BM55" s="68"/>
      <c r="BN55" s="68"/>
      <c r="BO55" s="68"/>
      <c r="BP55" s="68"/>
      <c r="BQ55" s="68"/>
      <c r="BR55" s="68"/>
      <c r="BS55" s="68"/>
      <c r="BT55" s="68"/>
      <c r="BU55" s="68"/>
      <c r="BV55" s="68"/>
      <c r="BW55" s="68"/>
      <c r="BX55" s="68"/>
      <c r="BY55" s="68"/>
      <c r="BZ55" s="68"/>
      <c r="CA55" s="68"/>
      <c r="CB55" s="68"/>
      <c r="CC55" s="68"/>
      <c r="CD55" s="68"/>
      <c r="CE55" s="68"/>
      <c r="CF55" s="68"/>
      <c r="CG55" s="68"/>
      <c r="CH55" s="68"/>
      <c r="CI55" s="68"/>
      <c r="CJ55" s="68"/>
      <c r="CK55" s="68"/>
      <c r="CL55" s="68"/>
      <c r="CM55" s="68"/>
      <c r="CN55" s="68"/>
      <c r="CO55" s="68"/>
      <c r="CP55" s="68"/>
      <c r="CQ55" s="68"/>
      <c r="CR55" s="68"/>
      <c r="CS55" s="68"/>
      <c r="CT55" s="68"/>
      <c r="CU55" s="68"/>
      <c r="CV55" s="68"/>
      <c r="CW55" s="68"/>
      <c r="CX55" s="68"/>
      <c r="CY55" s="68"/>
      <c r="CZ55" s="68"/>
      <c r="DA55" s="68"/>
      <c r="DB55" s="68"/>
      <c r="DC55" s="68"/>
      <c r="DD55" s="68"/>
      <c r="DE55" s="68"/>
      <c r="DF55" s="68"/>
      <c r="DG55" s="68"/>
      <c r="DH55" s="68"/>
      <c r="DI55" s="68"/>
      <c r="DJ55" s="68"/>
      <c r="DK55" s="68"/>
      <c r="DL55" s="68"/>
      <c r="DM55" s="68"/>
      <c r="DN55" s="68"/>
      <c r="DO55" s="68"/>
      <c r="DP55" s="68"/>
      <c r="DQ55" s="68"/>
      <c r="DR55" s="68"/>
      <c r="DS55" s="68"/>
      <c r="DT55" s="68"/>
      <c r="DU55" s="68"/>
      <c r="DV55" s="68"/>
      <c r="DW55" s="68"/>
      <c r="DX55" s="68"/>
      <c r="DY55" s="68"/>
      <c r="DZ55" s="68"/>
      <c r="EA55" s="68"/>
      <c r="EB55" s="68"/>
      <c r="EC55" s="68"/>
      <c r="ED55" s="68"/>
      <c r="EE55" s="68"/>
      <c r="EF55" s="68"/>
      <c r="EG55" s="68"/>
      <c r="EH55" s="68"/>
      <c r="EI55" s="68"/>
      <c r="EJ55" s="68"/>
      <c r="EK55" s="68"/>
      <c r="EL55" s="68"/>
      <c r="EM55" s="68"/>
      <c r="EN55" s="68"/>
      <c r="EO55" s="68"/>
      <c r="EP55" s="68"/>
      <c r="EQ55" s="68"/>
      <c r="ER55" s="68"/>
      <c r="ES55" s="68"/>
      <c r="ET55" s="68"/>
      <c r="EU55" s="68"/>
      <c r="EV55" s="68"/>
      <c r="EW55" s="68"/>
      <c r="EX55" s="68"/>
      <c r="EY55" s="68"/>
      <c r="EZ55" s="68"/>
      <c r="FA55" s="68"/>
      <c r="FB55" s="68"/>
      <c r="FC55" s="68"/>
      <c r="FD55" s="68"/>
      <c r="FE55" s="68"/>
      <c r="FF55" s="68"/>
      <c r="FG55" s="68"/>
      <c r="FH55" s="68"/>
      <c r="FI55" s="68"/>
      <c r="FJ55" s="68"/>
      <c r="FK55" s="68"/>
      <c r="FL55" s="68"/>
      <c r="FM55" s="68"/>
      <c r="FN55" s="68"/>
    </row>
    <row r="56" spans="1:170" s="24" customFormat="1" ht="11.5" x14ac:dyDescent="0.25">
      <c r="A56" s="43" t="s">
        <v>43</v>
      </c>
      <c r="E56" s="28">
        <v>2006</v>
      </c>
      <c r="F56" s="28">
        <v>39</v>
      </c>
      <c r="G56" s="28">
        <v>2</v>
      </c>
      <c r="H56" s="28">
        <v>40</v>
      </c>
      <c r="I56" s="28">
        <v>0</v>
      </c>
      <c r="J56" s="42">
        <v>0</v>
      </c>
      <c r="K56" s="28">
        <v>0</v>
      </c>
      <c r="L56" s="28"/>
      <c r="M56" s="267"/>
      <c r="N56" s="28">
        <f t="shared" si="31"/>
        <v>0</v>
      </c>
      <c r="O56" s="28">
        <f t="shared" si="32"/>
        <v>0</v>
      </c>
      <c r="P56" s="28">
        <f t="shared" si="32"/>
        <v>0</v>
      </c>
      <c r="Q56" s="28">
        <f t="shared" si="32"/>
        <v>0</v>
      </c>
      <c r="R56" s="28">
        <f t="shared" si="32"/>
        <v>0</v>
      </c>
      <c r="S56" s="28">
        <f t="shared" si="32"/>
        <v>0</v>
      </c>
      <c r="T56" s="28">
        <f t="shared" si="32"/>
        <v>0</v>
      </c>
      <c r="U56" s="28">
        <f t="shared" si="32"/>
        <v>0</v>
      </c>
      <c r="V56" s="28">
        <f t="shared" si="32"/>
        <v>0</v>
      </c>
      <c r="W56" s="28">
        <f t="shared" si="32"/>
        <v>0</v>
      </c>
      <c r="X56" s="28">
        <f t="shared" si="32"/>
        <v>0</v>
      </c>
      <c r="Y56" s="28">
        <f t="shared" si="32"/>
        <v>0</v>
      </c>
      <c r="Z56" s="28">
        <f t="shared" si="32"/>
        <v>0</v>
      </c>
      <c r="AA56" s="28">
        <f t="shared" si="32"/>
        <v>0</v>
      </c>
      <c r="AB56" s="28">
        <f t="shared" si="32"/>
        <v>0</v>
      </c>
      <c r="AC56" s="28">
        <f t="shared" si="32"/>
        <v>0</v>
      </c>
      <c r="AD56" s="28">
        <f t="shared" si="32"/>
        <v>0</v>
      </c>
      <c r="AE56" s="28">
        <f t="shared" si="32"/>
        <v>0</v>
      </c>
      <c r="AF56" s="28">
        <f t="shared" si="32"/>
        <v>0</v>
      </c>
      <c r="AG56" s="28">
        <f t="shared" si="32"/>
        <v>0</v>
      </c>
      <c r="AH56" s="28">
        <f t="shared" si="32"/>
        <v>0</v>
      </c>
      <c r="AI56" s="28">
        <f t="shared" si="32"/>
        <v>0</v>
      </c>
      <c r="AJ56" s="28">
        <f t="shared" si="32"/>
        <v>0</v>
      </c>
      <c r="AK56" s="28">
        <f t="shared" si="32"/>
        <v>0</v>
      </c>
      <c r="AL56" s="28">
        <f t="shared" si="32"/>
        <v>0</v>
      </c>
      <c r="AM56" s="28">
        <f t="shared" si="32"/>
        <v>0</v>
      </c>
      <c r="AN56" s="28">
        <f t="shared" si="32"/>
        <v>0</v>
      </c>
      <c r="AO56" s="68"/>
      <c r="AP56" s="68"/>
      <c r="AQ56" s="68"/>
      <c r="AR56" s="68"/>
      <c r="AS56" s="68"/>
      <c r="AT56" s="68"/>
      <c r="AU56" s="68"/>
      <c r="AV56" s="68"/>
      <c r="AW56" s="68"/>
      <c r="AX56" s="68"/>
      <c r="AY56" s="68"/>
      <c r="AZ56" s="68"/>
      <c r="BA56" s="68"/>
      <c r="BB56" s="68"/>
      <c r="BC56" s="68"/>
      <c r="BD56" s="68"/>
      <c r="BE56" s="68"/>
      <c r="BF56" s="68"/>
      <c r="BG56" s="68"/>
      <c r="BH56" s="68"/>
      <c r="BI56" s="68"/>
      <c r="BJ56" s="68"/>
      <c r="BK56" s="68"/>
      <c r="BL56" s="68"/>
      <c r="BM56" s="68"/>
      <c r="BN56" s="68"/>
      <c r="BO56" s="68"/>
      <c r="BP56" s="68"/>
      <c r="BQ56" s="68"/>
      <c r="BR56" s="68"/>
      <c r="BS56" s="68"/>
      <c r="BT56" s="68"/>
      <c r="BU56" s="68"/>
      <c r="BV56" s="68"/>
      <c r="BW56" s="68"/>
      <c r="BX56" s="68"/>
      <c r="BY56" s="68"/>
      <c r="BZ56" s="68"/>
      <c r="CA56" s="68"/>
      <c r="CB56" s="68"/>
      <c r="CC56" s="68"/>
      <c r="CD56" s="68"/>
      <c r="CE56" s="68"/>
      <c r="CF56" s="68"/>
      <c r="CG56" s="68"/>
      <c r="CH56" s="68"/>
      <c r="CI56" s="68"/>
      <c r="CJ56" s="68"/>
      <c r="CK56" s="68"/>
      <c r="CL56" s="68"/>
      <c r="CM56" s="68"/>
      <c r="CN56" s="68"/>
      <c r="CO56" s="68"/>
      <c r="CP56" s="68"/>
      <c r="CQ56" s="68"/>
      <c r="CR56" s="68"/>
      <c r="CS56" s="68"/>
      <c r="CT56" s="68"/>
      <c r="CU56" s="68"/>
      <c r="CV56" s="68"/>
      <c r="CW56" s="68"/>
      <c r="CX56" s="68"/>
      <c r="CY56" s="68"/>
      <c r="CZ56" s="68"/>
      <c r="DA56" s="68"/>
      <c r="DB56" s="68"/>
      <c r="DC56" s="68"/>
      <c r="DD56" s="68"/>
      <c r="DE56" s="68"/>
      <c r="DF56" s="68"/>
      <c r="DG56" s="68"/>
      <c r="DH56" s="68"/>
      <c r="DI56" s="68"/>
      <c r="DJ56" s="68"/>
      <c r="DK56" s="68"/>
      <c r="DL56" s="68"/>
      <c r="DM56" s="68"/>
      <c r="DN56" s="68"/>
      <c r="DO56" s="68"/>
      <c r="DP56" s="68"/>
      <c r="DQ56" s="68"/>
      <c r="DR56" s="68"/>
      <c r="DS56" s="68"/>
      <c r="DT56" s="68"/>
      <c r="DU56" s="68"/>
      <c r="DV56" s="68"/>
      <c r="DW56" s="68"/>
      <c r="DX56" s="68"/>
      <c r="DY56" s="68"/>
      <c r="DZ56" s="68"/>
      <c r="EA56" s="68"/>
      <c r="EB56" s="68"/>
      <c r="EC56" s="68"/>
      <c r="ED56" s="68"/>
      <c r="EE56" s="68"/>
      <c r="EF56" s="68"/>
      <c r="EG56" s="68"/>
      <c r="EH56" s="68"/>
      <c r="EI56" s="68"/>
      <c r="EJ56" s="68"/>
      <c r="EK56" s="68"/>
      <c r="EL56" s="68"/>
      <c r="EM56" s="68"/>
      <c r="EN56" s="68"/>
      <c r="EO56" s="68"/>
      <c r="EP56" s="68"/>
      <c r="EQ56" s="68"/>
      <c r="ER56" s="68"/>
      <c r="ES56" s="68"/>
      <c r="ET56" s="68"/>
      <c r="EU56" s="68"/>
      <c r="EV56" s="68"/>
      <c r="EW56" s="68"/>
      <c r="EX56" s="68"/>
      <c r="EY56" s="68"/>
      <c r="EZ56" s="68"/>
      <c r="FA56" s="68"/>
      <c r="FB56" s="68"/>
      <c r="FC56" s="68"/>
      <c r="FD56" s="68"/>
      <c r="FE56" s="68"/>
      <c r="FF56" s="68"/>
      <c r="FG56" s="68"/>
      <c r="FH56" s="68"/>
      <c r="FI56" s="68"/>
      <c r="FJ56" s="68"/>
      <c r="FK56" s="68"/>
      <c r="FL56" s="68"/>
      <c r="FM56" s="68"/>
      <c r="FN56" s="68"/>
    </row>
    <row r="57" spans="1:170" s="24" customFormat="1" ht="11.5" x14ac:dyDescent="0.25">
      <c r="A57" s="43" t="s">
        <v>44</v>
      </c>
      <c r="E57" s="28">
        <v>12478</v>
      </c>
      <c r="F57" s="28">
        <v>15521</v>
      </c>
      <c r="G57" s="28">
        <v>14738</v>
      </c>
      <c r="H57" s="28">
        <v>19076</v>
      </c>
      <c r="I57" s="28">
        <v>21638</v>
      </c>
      <c r="J57" s="42">
        <v>24099</v>
      </c>
      <c r="K57" s="28">
        <v>0</v>
      </c>
      <c r="L57" s="28">
        <v>15635</v>
      </c>
      <c r="M57" s="267">
        <v>17976</v>
      </c>
      <c r="N57" s="28">
        <f t="shared" si="31"/>
        <v>17976</v>
      </c>
      <c r="O57" s="28">
        <f t="shared" si="32"/>
        <v>17976</v>
      </c>
      <c r="P57" s="28">
        <f t="shared" si="32"/>
        <v>17976</v>
      </c>
      <c r="Q57" s="28">
        <f t="shared" si="32"/>
        <v>17976</v>
      </c>
      <c r="R57" s="28">
        <f t="shared" si="32"/>
        <v>17976</v>
      </c>
      <c r="S57" s="28">
        <f t="shared" si="32"/>
        <v>17976</v>
      </c>
      <c r="T57" s="28">
        <f t="shared" si="32"/>
        <v>17976</v>
      </c>
      <c r="U57" s="28">
        <f t="shared" si="32"/>
        <v>17976</v>
      </c>
      <c r="V57" s="28">
        <f t="shared" si="32"/>
        <v>17976</v>
      </c>
      <c r="W57" s="28">
        <f t="shared" si="32"/>
        <v>17976</v>
      </c>
      <c r="X57" s="28">
        <f t="shared" si="32"/>
        <v>17976</v>
      </c>
      <c r="Y57" s="28">
        <f t="shared" si="32"/>
        <v>17976</v>
      </c>
      <c r="Z57" s="28">
        <f t="shared" si="32"/>
        <v>17976</v>
      </c>
      <c r="AA57" s="28">
        <f t="shared" si="32"/>
        <v>17976</v>
      </c>
      <c r="AB57" s="28">
        <f t="shared" si="32"/>
        <v>17976</v>
      </c>
      <c r="AC57" s="28">
        <f t="shared" si="32"/>
        <v>17976</v>
      </c>
      <c r="AD57" s="28">
        <f t="shared" si="32"/>
        <v>17976</v>
      </c>
      <c r="AE57" s="28">
        <f t="shared" si="32"/>
        <v>17976</v>
      </c>
      <c r="AF57" s="28">
        <f t="shared" si="32"/>
        <v>17976</v>
      </c>
      <c r="AG57" s="28">
        <f t="shared" si="32"/>
        <v>17976</v>
      </c>
      <c r="AH57" s="28">
        <f t="shared" si="32"/>
        <v>17976</v>
      </c>
      <c r="AI57" s="28">
        <f t="shared" si="32"/>
        <v>17976</v>
      </c>
      <c r="AJ57" s="28">
        <f t="shared" si="32"/>
        <v>17976</v>
      </c>
      <c r="AK57" s="28">
        <f t="shared" si="32"/>
        <v>17976</v>
      </c>
      <c r="AL57" s="28">
        <f t="shared" si="32"/>
        <v>17976</v>
      </c>
      <c r="AM57" s="28">
        <f t="shared" si="32"/>
        <v>17976</v>
      </c>
      <c r="AN57" s="28">
        <f t="shared" si="32"/>
        <v>17976</v>
      </c>
      <c r="AO57" s="68"/>
      <c r="AP57" s="68"/>
      <c r="AQ57" s="68"/>
      <c r="AR57" s="68"/>
      <c r="AS57" s="68"/>
      <c r="AT57" s="68"/>
      <c r="AU57" s="68"/>
      <c r="AV57" s="68"/>
      <c r="AW57" s="68"/>
      <c r="AX57" s="68"/>
      <c r="AY57" s="68"/>
      <c r="AZ57" s="68"/>
      <c r="BA57" s="68"/>
      <c r="BB57" s="68"/>
      <c r="BC57" s="68"/>
      <c r="BD57" s="68"/>
      <c r="BE57" s="68"/>
      <c r="BF57" s="68"/>
      <c r="BG57" s="68"/>
      <c r="BH57" s="68"/>
      <c r="BI57" s="68"/>
      <c r="BJ57" s="68"/>
      <c r="BK57" s="68"/>
      <c r="BL57" s="68"/>
      <c r="BM57" s="68"/>
      <c r="BN57" s="68"/>
      <c r="BO57" s="68"/>
      <c r="BP57" s="68"/>
      <c r="BQ57" s="68"/>
      <c r="BR57" s="68"/>
      <c r="BS57" s="68"/>
      <c r="BT57" s="68"/>
      <c r="BU57" s="68"/>
      <c r="BV57" s="68"/>
      <c r="BW57" s="68"/>
      <c r="BX57" s="68"/>
      <c r="BY57" s="68"/>
      <c r="BZ57" s="68"/>
      <c r="CA57" s="68"/>
      <c r="CB57" s="68"/>
      <c r="CC57" s="68"/>
      <c r="CD57" s="68"/>
      <c r="CE57" s="68"/>
      <c r="CF57" s="68"/>
      <c r="CG57" s="68"/>
      <c r="CH57" s="68"/>
      <c r="CI57" s="68"/>
      <c r="CJ57" s="68"/>
      <c r="CK57" s="68"/>
      <c r="CL57" s="68"/>
      <c r="CM57" s="68"/>
      <c r="CN57" s="68"/>
      <c r="CO57" s="68"/>
      <c r="CP57" s="68"/>
      <c r="CQ57" s="68"/>
      <c r="CR57" s="68"/>
      <c r="CS57" s="68"/>
      <c r="CT57" s="68"/>
      <c r="CU57" s="68"/>
      <c r="CV57" s="68"/>
      <c r="CW57" s="68"/>
      <c r="CX57" s="68"/>
      <c r="CY57" s="68"/>
      <c r="CZ57" s="68"/>
      <c r="DA57" s="68"/>
      <c r="DB57" s="68"/>
      <c r="DC57" s="68"/>
      <c r="DD57" s="68"/>
      <c r="DE57" s="68"/>
      <c r="DF57" s="68"/>
      <c r="DG57" s="68"/>
      <c r="DH57" s="68"/>
      <c r="DI57" s="68"/>
      <c r="DJ57" s="68"/>
      <c r="DK57" s="68"/>
      <c r="DL57" s="68"/>
      <c r="DM57" s="68"/>
      <c r="DN57" s="68"/>
      <c r="DO57" s="68"/>
      <c r="DP57" s="68"/>
      <c r="DQ57" s="68"/>
      <c r="DR57" s="68"/>
      <c r="DS57" s="68"/>
      <c r="DT57" s="68"/>
      <c r="DU57" s="68"/>
      <c r="DV57" s="68"/>
      <c r="DW57" s="68"/>
      <c r="DX57" s="68"/>
      <c r="DY57" s="68"/>
      <c r="DZ57" s="68"/>
      <c r="EA57" s="68"/>
      <c r="EB57" s="68"/>
      <c r="EC57" s="68"/>
      <c r="ED57" s="68"/>
      <c r="EE57" s="68"/>
      <c r="EF57" s="68"/>
      <c r="EG57" s="68"/>
      <c r="EH57" s="68"/>
      <c r="EI57" s="68"/>
      <c r="EJ57" s="68"/>
      <c r="EK57" s="68"/>
      <c r="EL57" s="68"/>
      <c r="EM57" s="68"/>
      <c r="EN57" s="68"/>
      <c r="EO57" s="68"/>
      <c r="EP57" s="68"/>
      <c r="EQ57" s="68"/>
      <c r="ER57" s="68"/>
      <c r="ES57" s="68"/>
      <c r="ET57" s="68"/>
      <c r="EU57" s="68"/>
      <c r="EV57" s="68"/>
      <c r="EW57" s="68"/>
      <c r="EX57" s="68"/>
      <c r="EY57" s="68"/>
      <c r="EZ57" s="68"/>
      <c r="FA57" s="68"/>
      <c r="FB57" s="68"/>
      <c r="FC57" s="68"/>
      <c r="FD57" s="68"/>
      <c r="FE57" s="68"/>
      <c r="FF57" s="68"/>
      <c r="FG57" s="68"/>
      <c r="FH57" s="68"/>
      <c r="FI57" s="68"/>
      <c r="FJ57" s="68"/>
      <c r="FK57" s="68"/>
      <c r="FL57" s="68"/>
      <c r="FM57" s="68"/>
      <c r="FN57" s="68"/>
    </row>
    <row r="58" spans="1:170" s="24" customFormat="1" ht="11.5" x14ac:dyDescent="0.25">
      <c r="A58" s="43" t="s">
        <v>45</v>
      </c>
      <c r="E58" s="28">
        <v>209</v>
      </c>
      <c r="F58" s="28">
        <v>8</v>
      </c>
      <c r="G58" s="28">
        <v>37</v>
      </c>
      <c r="H58" s="28">
        <v>7</v>
      </c>
      <c r="I58" s="28">
        <v>240</v>
      </c>
      <c r="J58" s="42">
        <v>1032</v>
      </c>
      <c r="K58" s="28">
        <v>40.93</v>
      </c>
      <c r="L58" s="28"/>
      <c r="M58" s="267"/>
      <c r="N58" s="28">
        <f t="shared" si="31"/>
        <v>0</v>
      </c>
      <c r="O58" s="28">
        <f t="shared" si="32"/>
        <v>0</v>
      </c>
      <c r="P58" s="28">
        <f t="shared" si="32"/>
        <v>0</v>
      </c>
      <c r="Q58" s="28">
        <f t="shared" si="32"/>
        <v>0</v>
      </c>
      <c r="R58" s="28">
        <f t="shared" si="32"/>
        <v>0</v>
      </c>
      <c r="S58" s="28">
        <f t="shared" si="32"/>
        <v>0</v>
      </c>
      <c r="T58" s="28">
        <f t="shared" si="32"/>
        <v>0</v>
      </c>
      <c r="U58" s="28">
        <f t="shared" si="32"/>
        <v>0</v>
      </c>
      <c r="V58" s="28">
        <f t="shared" si="32"/>
        <v>0</v>
      </c>
      <c r="W58" s="28">
        <f t="shared" si="32"/>
        <v>0</v>
      </c>
      <c r="X58" s="28">
        <f t="shared" si="32"/>
        <v>0</v>
      </c>
      <c r="Y58" s="28">
        <f t="shared" ref="O58:AN62" si="33">X58</f>
        <v>0</v>
      </c>
      <c r="Z58" s="28">
        <f t="shared" si="33"/>
        <v>0</v>
      </c>
      <c r="AA58" s="28">
        <f t="shared" si="33"/>
        <v>0</v>
      </c>
      <c r="AB58" s="28">
        <f t="shared" si="33"/>
        <v>0</v>
      </c>
      <c r="AC58" s="28">
        <f t="shared" si="33"/>
        <v>0</v>
      </c>
      <c r="AD58" s="28">
        <f t="shared" si="33"/>
        <v>0</v>
      </c>
      <c r="AE58" s="28">
        <f t="shared" si="33"/>
        <v>0</v>
      </c>
      <c r="AF58" s="28">
        <f t="shared" si="33"/>
        <v>0</v>
      </c>
      <c r="AG58" s="28">
        <f t="shared" si="33"/>
        <v>0</v>
      </c>
      <c r="AH58" s="28">
        <f t="shared" si="33"/>
        <v>0</v>
      </c>
      <c r="AI58" s="28">
        <f t="shared" si="33"/>
        <v>0</v>
      </c>
      <c r="AJ58" s="28">
        <f t="shared" si="33"/>
        <v>0</v>
      </c>
      <c r="AK58" s="28">
        <f t="shared" si="33"/>
        <v>0</v>
      </c>
      <c r="AL58" s="28">
        <f t="shared" si="33"/>
        <v>0</v>
      </c>
      <c r="AM58" s="28">
        <f t="shared" si="33"/>
        <v>0</v>
      </c>
      <c r="AN58" s="28">
        <f t="shared" si="33"/>
        <v>0</v>
      </c>
      <c r="AO58" s="68"/>
      <c r="AP58" s="68"/>
      <c r="AQ58" s="68"/>
      <c r="AR58" s="68"/>
      <c r="AS58" s="68"/>
      <c r="AT58" s="68"/>
      <c r="AU58" s="68"/>
      <c r="AV58" s="68"/>
      <c r="AW58" s="68"/>
      <c r="AX58" s="68"/>
      <c r="AY58" s="68"/>
      <c r="AZ58" s="68"/>
      <c r="BA58" s="68"/>
      <c r="BB58" s="68"/>
      <c r="BC58" s="68"/>
      <c r="BD58" s="68"/>
      <c r="BE58" s="68"/>
      <c r="BF58" s="68"/>
      <c r="BG58" s="68"/>
      <c r="BH58" s="68"/>
      <c r="BI58" s="68"/>
      <c r="BJ58" s="68"/>
      <c r="BK58" s="68"/>
      <c r="BL58" s="68"/>
      <c r="BM58" s="68"/>
      <c r="BN58" s="68"/>
      <c r="BO58" s="68"/>
      <c r="BP58" s="68"/>
      <c r="BQ58" s="68"/>
      <c r="BR58" s="68"/>
      <c r="BS58" s="68"/>
      <c r="BT58" s="68"/>
      <c r="BU58" s="68"/>
      <c r="BV58" s="68"/>
      <c r="BW58" s="68"/>
      <c r="BX58" s="68"/>
      <c r="BY58" s="68"/>
      <c r="BZ58" s="68"/>
      <c r="CA58" s="68"/>
      <c r="CB58" s="68"/>
      <c r="CC58" s="68"/>
      <c r="CD58" s="68"/>
      <c r="CE58" s="68"/>
      <c r="CF58" s="68"/>
      <c r="CG58" s="68"/>
      <c r="CH58" s="68"/>
      <c r="CI58" s="68"/>
      <c r="CJ58" s="68"/>
      <c r="CK58" s="68"/>
      <c r="CL58" s="68"/>
      <c r="CM58" s="68"/>
      <c r="CN58" s="68"/>
      <c r="CO58" s="68"/>
      <c r="CP58" s="68"/>
      <c r="CQ58" s="68"/>
      <c r="CR58" s="68"/>
      <c r="CS58" s="68"/>
      <c r="CT58" s="68"/>
      <c r="CU58" s="68"/>
      <c r="CV58" s="68"/>
      <c r="CW58" s="68"/>
      <c r="CX58" s="68"/>
      <c r="CY58" s="68"/>
      <c r="CZ58" s="68"/>
      <c r="DA58" s="68"/>
      <c r="DB58" s="68"/>
      <c r="DC58" s="68"/>
      <c r="DD58" s="68"/>
      <c r="DE58" s="68"/>
      <c r="DF58" s="68"/>
      <c r="DG58" s="68"/>
      <c r="DH58" s="68"/>
      <c r="DI58" s="68"/>
      <c r="DJ58" s="68"/>
      <c r="DK58" s="68"/>
      <c r="DL58" s="68"/>
      <c r="DM58" s="68"/>
      <c r="DN58" s="68"/>
      <c r="DO58" s="68"/>
      <c r="DP58" s="68"/>
      <c r="DQ58" s="68"/>
      <c r="DR58" s="68"/>
      <c r="DS58" s="68"/>
      <c r="DT58" s="68"/>
      <c r="DU58" s="68"/>
      <c r="DV58" s="68"/>
      <c r="DW58" s="68"/>
      <c r="DX58" s="68"/>
      <c r="DY58" s="68"/>
      <c r="DZ58" s="68"/>
      <c r="EA58" s="68"/>
      <c r="EB58" s="68"/>
      <c r="EC58" s="68"/>
      <c r="ED58" s="68"/>
      <c r="EE58" s="68"/>
      <c r="EF58" s="68"/>
      <c r="EG58" s="68"/>
      <c r="EH58" s="68"/>
      <c r="EI58" s="68"/>
      <c r="EJ58" s="68"/>
      <c r="EK58" s="68"/>
      <c r="EL58" s="68"/>
      <c r="EM58" s="68"/>
      <c r="EN58" s="68"/>
      <c r="EO58" s="68"/>
      <c r="EP58" s="68"/>
      <c r="EQ58" s="68"/>
      <c r="ER58" s="68"/>
      <c r="ES58" s="68"/>
      <c r="ET58" s="68"/>
      <c r="EU58" s="68"/>
      <c r="EV58" s="68"/>
      <c r="EW58" s="68"/>
      <c r="EX58" s="68"/>
      <c r="EY58" s="68"/>
      <c r="EZ58" s="68"/>
      <c r="FA58" s="68"/>
      <c r="FB58" s="68"/>
      <c r="FC58" s="68"/>
      <c r="FD58" s="68"/>
      <c r="FE58" s="68"/>
      <c r="FF58" s="68"/>
      <c r="FG58" s="68"/>
      <c r="FH58" s="68"/>
      <c r="FI58" s="68"/>
      <c r="FJ58" s="68"/>
      <c r="FK58" s="68"/>
      <c r="FL58" s="68"/>
      <c r="FM58" s="68"/>
      <c r="FN58" s="68"/>
    </row>
    <row r="59" spans="1:170" s="24" customFormat="1" ht="11.5" x14ac:dyDescent="0.25">
      <c r="A59" s="43" t="s">
        <v>46</v>
      </c>
      <c r="E59" s="28">
        <v>6198</v>
      </c>
      <c r="F59" s="28">
        <v>2260</v>
      </c>
      <c r="G59" s="28">
        <v>2155</v>
      </c>
      <c r="H59" s="28">
        <v>1040</v>
      </c>
      <c r="I59" s="28">
        <v>1300</v>
      </c>
      <c r="J59" s="42">
        <v>113082</v>
      </c>
      <c r="K59" s="28">
        <v>57822.879999999997</v>
      </c>
      <c r="L59" s="28"/>
      <c r="M59" s="267"/>
      <c r="N59" s="28">
        <f t="shared" si="31"/>
        <v>0</v>
      </c>
      <c r="O59" s="28">
        <f t="shared" si="33"/>
        <v>0</v>
      </c>
      <c r="P59" s="28">
        <f t="shared" si="33"/>
        <v>0</v>
      </c>
      <c r="Q59" s="28">
        <f t="shared" si="33"/>
        <v>0</v>
      </c>
      <c r="R59" s="28">
        <f t="shared" si="33"/>
        <v>0</v>
      </c>
      <c r="S59" s="28">
        <f t="shared" si="33"/>
        <v>0</v>
      </c>
      <c r="T59" s="28">
        <f t="shared" si="33"/>
        <v>0</v>
      </c>
      <c r="U59" s="28">
        <f t="shared" si="33"/>
        <v>0</v>
      </c>
      <c r="V59" s="28">
        <f t="shared" si="33"/>
        <v>0</v>
      </c>
      <c r="W59" s="28">
        <f t="shared" si="33"/>
        <v>0</v>
      </c>
      <c r="X59" s="28">
        <f t="shared" si="33"/>
        <v>0</v>
      </c>
      <c r="Y59" s="28">
        <f t="shared" si="33"/>
        <v>0</v>
      </c>
      <c r="Z59" s="28">
        <f t="shared" si="33"/>
        <v>0</v>
      </c>
      <c r="AA59" s="28">
        <f t="shared" si="33"/>
        <v>0</v>
      </c>
      <c r="AB59" s="28">
        <f t="shared" si="33"/>
        <v>0</v>
      </c>
      <c r="AC59" s="28">
        <f t="shared" si="33"/>
        <v>0</v>
      </c>
      <c r="AD59" s="28">
        <f t="shared" si="33"/>
        <v>0</v>
      </c>
      <c r="AE59" s="28">
        <f t="shared" si="33"/>
        <v>0</v>
      </c>
      <c r="AF59" s="28">
        <f t="shared" si="33"/>
        <v>0</v>
      </c>
      <c r="AG59" s="28">
        <f t="shared" si="33"/>
        <v>0</v>
      </c>
      <c r="AH59" s="28">
        <f t="shared" si="33"/>
        <v>0</v>
      </c>
      <c r="AI59" s="28">
        <f t="shared" si="33"/>
        <v>0</v>
      </c>
      <c r="AJ59" s="28">
        <f t="shared" si="33"/>
        <v>0</v>
      </c>
      <c r="AK59" s="28">
        <f t="shared" si="33"/>
        <v>0</v>
      </c>
      <c r="AL59" s="28">
        <f t="shared" si="33"/>
        <v>0</v>
      </c>
      <c r="AM59" s="28">
        <f t="shared" si="33"/>
        <v>0</v>
      </c>
      <c r="AN59" s="28">
        <f t="shared" si="33"/>
        <v>0</v>
      </c>
      <c r="AO59" s="68"/>
      <c r="AP59" s="68"/>
      <c r="AQ59" s="68"/>
      <c r="AR59" s="68"/>
      <c r="AS59" s="68"/>
      <c r="AT59" s="68"/>
      <c r="AU59" s="68"/>
      <c r="AV59" s="68"/>
      <c r="AW59" s="68"/>
      <c r="AX59" s="68"/>
      <c r="AY59" s="68"/>
      <c r="AZ59" s="68"/>
      <c r="BA59" s="68"/>
      <c r="BB59" s="68"/>
      <c r="BC59" s="68"/>
      <c r="BD59" s="68"/>
      <c r="BE59" s="68"/>
      <c r="BF59" s="68"/>
      <c r="BG59" s="68"/>
      <c r="BH59" s="68"/>
      <c r="BI59" s="68"/>
      <c r="BJ59" s="68"/>
      <c r="BK59" s="68"/>
      <c r="BL59" s="68"/>
      <c r="BM59" s="68"/>
      <c r="BN59" s="68"/>
      <c r="BO59" s="68"/>
      <c r="BP59" s="68"/>
      <c r="BQ59" s="68"/>
      <c r="BR59" s="68"/>
      <c r="BS59" s="68"/>
      <c r="BT59" s="68"/>
      <c r="BU59" s="68"/>
      <c r="BV59" s="68"/>
      <c r="BW59" s="68"/>
      <c r="BX59" s="68"/>
      <c r="BY59" s="68"/>
      <c r="BZ59" s="68"/>
      <c r="CA59" s="68"/>
      <c r="CB59" s="68"/>
      <c r="CC59" s="68"/>
      <c r="CD59" s="68"/>
      <c r="CE59" s="68"/>
      <c r="CF59" s="68"/>
      <c r="CG59" s="68"/>
      <c r="CH59" s="68"/>
      <c r="CI59" s="68"/>
      <c r="CJ59" s="68"/>
      <c r="CK59" s="68"/>
      <c r="CL59" s="68"/>
      <c r="CM59" s="68"/>
      <c r="CN59" s="68"/>
      <c r="CO59" s="68"/>
      <c r="CP59" s="68"/>
      <c r="CQ59" s="68"/>
      <c r="CR59" s="68"/>
      <c r="CS59" s="68"/>
      <c r="CT59" s="68"/>
      <c r="CU59" s="68"/>
      <c r="CV59" s="68"/>
      <c r="CW59" s="68"/>
      <c r="CX59" s="68"/>
      <c r="CY59" s="68"/>
      <c r="CZ59" s="68"/>
      <c r="DA59" s="68"/>
      <c r="DB59" s="68"/>
      <c r="DC59" s="68"/>
      <c r="DD59" s="68"/>
      <c r="DE59" s="68"/>
      <c r="DF59" s="68"/>
      <c r="DG59" s="68"/>
      <c r="DH59" s="68"/>
      <c r="DI59" s="68"/>
      <c r="DJ59" s="68"/>
      <c r="DK59" s="68"/>
      <c r="DL59" s="68"/>
      <c r="DM59" s="68"/>
      <c r="DN59" s="68"/>
      <c r="DO59" s="68"/>
      <c r="DP59" s="68"/>
      <c r="DQ59" s="68"/>
      <c r="DR59" s="68"/>
      <c r="DS59" s="68"/>
      <c r="DT59" s="68"/>
      <c r="DU59" s="68"/>
      <c r="DV59" s="68"/>
      <c r="DW59" s="68"/>
      <c r="DX59" s="68"/>
      <c r="DY59" s="68"/>
      <c r="DZ59" s="68"/>
      <c r="EA59" s="68"/>
      <c r="EB59" s="68"/>
      <c r="EC59" s="68"/>
      <c r="ED59" s="68"/>
      <c r="EE59" s="68"/>
      <c r="EF59" s="68"/>
      <c r="EG59" s="68"/>
      <c r="EH59" s="68"/>
      <c r="EI59" s="68"/>
      <c r="EJ59" s="68"/>
      <c r="EK59" s="68"/>
      <c r="EL59" s="68"/>
      <c r="EM59" s="68"/>
      <c r="EN59" s="68"/>
      <c r="EO59" s="68"/>
      <c r="EP59" s="68"/>
      <c r="EQ59" s="68"/>
      <c r="ER59" s="68"/>
      <c r="ES59" s="68"/>
      <c r="ET59" s="68"/>
      <c r="EU59" s="68"/>
      <c r="EV59" s="68"/>
      <c r="EW59" s="68"/>
      <c r="EX59" s="68"/>
      <c r="EY59" s="68"/>
      <c r="EZ59" s="68"/>
      <c r="FA59" s="68"/>
      <c r="FB59" s="68"/>
      <c r="FC59" s="68"/>
      <c r="FD59" s="68"/>
      <c r="FE59" s="68"/>
      <c r="FF59" s="68"/>
      <c r="FG59" s="68"/>
      <c r="FH59" s="68"/>
      <c r="FI59" s="68"/>
      <c r="FJ59" s="68"/>
      <c r="FK59" s="68"/>
      <c r="FL59" s="68"/>
      <c r="FM59" s="68"/>
      <c r="FN59" s="68"/>
    </row>
    <row r="60" spans="1:170" s="24" customFormat="1" ht="11.5" x14ac:dyDescent="0.25">
      <c r="A60" s="43" t="s">
        <v>47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42">
        <v>0</v>
      </c>
      <c r="K60" s="28">
        <v>0</v>
      </c>
      <c r="L60" s="28"/>
      <c r="M60" s="267"/>
      <c r="N60" s="28">
        <f t="shared" si="31"/>
        <v>0</v>
      </c>
      <c r="O60" s="28">
        <f t="shared" si="33"/>
        <v>0</v>
      </c>
      <c r="P60" s="28">
        <f t="shared" si="33"/>
        <v>0</v>
      </c>
      <c r="Q60" s="28">
        <f t="shared" si="33"/>
        <v>0</v>
      </c>
      <c r="R60" s="28">
        <f t="shared" si="33"/>
        <v>0</v>
      </c>
      <c r="S60" s="28">
        <f t="shared" si="33"/>
        <v>0</v>
      </c>
      <c r="T60" s="28">
        <f t="shared" si="33"/>
        <v>0</v>
      </c>
      <c r="U60" s="28">
        <f t="shared" si="33"/>
        <v>0</v>
      </c>
      <c r="V60" s="28">
        <f t="shared" si="33"/>
        <v>0</v>
      </c>
      <c r="W60" s="28">
        <f t="shared" si="33"/>
        <v>0</v>
      </c>
      <c r="X60" s="28">
        <f t="shared" si="33"/>
        <v>0</v>
      </c>
      <c r="Y60" s="28">
        <f t="shared" si="33"/>
        <v>0</v>
      </c>
      <c r="Z60" s="28">
        <f t="shared" si="33"/>
        <v>0</v>
      </c>
      <c r="AA60" s="28">
        <f t="shared" si="33"/>
        <v>0</v>
      </c>
      <c r="AB60" s="28">
        <f t="shared" si="33"/>
        <v>0</v>
      </c>
      <c r="AC60" s="28">
        <f t="shared" si="33"/>
        <v>0</v>
      </c>
      <c r="AD60" s="28">
        <f t="shared" si="33"/>
        <v>0</v>
      </c>
      <c r="AE60" s="28">
        <f t="shared" si="33"/>
        <v>0</v>
      </c>
      <c r="AF60" s="28">
        <f t="shared" si="33"/>
        <v>0</v>
      </c>
      <c r="AG60" s="28">
        <f t="shared" si="33"/>
        <v>0</v>
      </c>
      <c r="AH60" s="28">
        <f t="shared" si="33"/>
        <v>0</v>
      </c>
      <c r="AI60" s="28">
        <f t="shared" si="33"/>
        <v>0</v>
      </c>
      <c r="AJ60" s="28">
        <f t="shared" si="33"/>
        <v>0</v>
      </c>
      <c r="AK60" s="28">
        <f t="shared" si="33"/>
        <v>0</v>
      </c>
      <c r="AL60" s="28">
        <f t="shared" si="33"/>
        <v>0</v>
      </c>
      <c r="AM60" s="28">
        <f t="shared" si="33"/>
        <v>0</v>
      </c>
      <c r="AN60" s="28">
        <f t="shared" si="33"/>
        <v>0</v>
      </c>
      <c r="AO60" s="68"/>
      <c r="AP60" s="68"/>
      <c r="AQ60" s="68"/>
      <c r="AR60" s="68"/>
      <c r="AS60" s="68"/>
      <c r="AT60" s="68"/>
      <c r="AU60" s="68"/>
      <c r="AV60" s="68"/>
      <c r="AW60" s="68"/>
      <c r="AX60" s="68"/>
      <c r="AY60" s="68"/>
      <c r="AZ60" s="68"/>
      <c r="BA60" s="68"/>
      <c r="BB60" s="68"/>
      <c r="BC60" s="68"/>
      <c r="BD60" s="68"/>
      <c r="BE60" s="68"/>
      <c r="BF60" s="68"/>
      <c r="BG60" s="68"/>
      <c r="BH60" s="68"/>
      <c r="BI60" s="68"/>
      <c r="BJ60" s="68"/>
      <c r="BK60" s="68"/>
      <c r="BL60" s="68"/>
      <c r="BM60" s="68"/>
      <c r="BN60" s="68"/>
      <c r="BO60" s="68"/>
      <c r="BP60" s="68"/>
      <c r="BQ60" s="68"/>
      <c r="BR60" s="68"/>
      <c r="BS60" s="68"/>
      <c r="BT60" s="68"/>
      <c r="BU60" s="68"/>
      <c r="BV60" s="68"/>
      <c r="BW60" s="68"/>
      <c r="BX60" s="68"/>
      <c r="BY60" s="68"/>
      <c r="BZ60" s="68"/>
      <c r="CA60" s="68"/>
      <c r="CB60" s="68"/>
      <c r="CC60" s="68"/>
      <c r="CD60" s="68"/>
      <c r="CE60" s="68"/>
      <c r="CF60" s="68"/>
      <c r="CG60" s="68"/>
      <c r="CH60" s="68"/>
      <c r="CI60" s="68"/>
      <c r="CJ60" s="68"/>
      <c r="CK60" s="68"/>
      <c r="CL60" s="68"/>
      <c r="CM60" s="68"/>
      <c r="CN60" s="68"/>
      <c r="CO60" s="68"/>
      <c r="CP60" s="68"/>
      <c r="CQ60" s="68"/>
      <c r="CR60" s="68"/>
      <c r="CS60" s="68"/>
      <c r="CT60" s="68"/>
      <c r="CU60" s="68"/>
      <c r="CV60" s="68"/>
      <c r="CW60" s="68"/>
      <c r="CX60" s="68"/>
      <c r="CY60" s="68"/>
      <c r="CZ60" s="68"/>
      <c r="DA60" s="68"/>
      <c r="DB60" s="68"/>
      <c r="DC60" s="68"/>
      <c r="DD60" s="68"/>
      <c r="DE60" s="68"/>
      <c r="DF60" s="68"/>
      <c r="DG60" s="68"/>
      <c r="DH60" s="68"/>
      <c r="DI60" s="68"/>
      <c r="DJ60" s="68"/>
      <c r="DK60" s="68"/>
      <c r="DL60" s="68"/>
      <c r="DM60" s="68"/>
      <c r="DN60" s="68"/>
      <c r="DO60" s="68"/>
      <c r="DP60" s="68"/>
      <c r="DQ60" s="68"/>
      <c r="DR60" s="68"/>
      <c r="DS60" s="68"/>
      <c r="DT60" s="68"/>
      <c r="DU60" s="68"/>
      <c r="DV60" s="68"/>
      <c r="DW60" s="68"/>
      <c r="DX60" s="68"/>
      <c r="DY60" s="68"/>
      <c r="DZ60" s="68"/>
      <c r="EA60" s="68"/>
      <c r="EB60" s="68"/>
      <c r="EC60" s="68"/>
      <c r="ED60" s="68"/>
      <c r="EE60" s="68"/>
      <c r="EF60" s="68"/>
      <c r="EG60" s="68"/>
      <c r="EH60" s="68"/>
      <c r="EI60" s="68"/>
      <c r="EJ60" s="68"/>
      <c r="EK60" s="68"/>
      <c r="EL60" s="68"/>
      <c r="EM60" s="68"/>
      <c r="EN60" s="68"/>
      <c r="EO60" s="68"/>
      <c r="EP60" s="68"/>
      <c r="EQ60" s="68"/>
      <c r="ER60" s="68"/>
      <c r="ES60" s="68"/>
      <c r="ET60" s="68"/>
      <c r="EU60" s="68"/>
      <c r="EV60" s="68"/>
      <c r="EW60" s="68"/>
      <c r="EX60" s="68"/>
      <c r="EY60" s="68"/>
      <c r="EZ60" s="68"/>
      <c r="FA60" s="68"/>
      <c r="FB60" s="68"/>
      <c r="FC60" s="68"/>
      <c r="FD60" s="68"/>
      <c r="FE60" s="68"/>
      <c r="FF60" s="68"/>
      <c r="FG60" s="68"/>
      <c r="FH60" s="68"/>
      <c r="FI60" s="68"/>
      <c r="FJ60" s="68"/>
      <c r="FK60" s="68"/>
      <c r="FL60" s="68"/>
      <c r="FM60" s="68"/>
      <c r="FN60" s="68"/>
    </row>
    <row r="61" spans="1:170" s="24" customFormat="1" ht="11.5" x14ac:dyDescent="0.25">
      <c r="A61" s="43" t="s">
        <v>48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42">
        <v>0</v>
      </c>
      <c r="K61" s="28">
        <v>0</v>
      </c>
      <c r="L61" s="28"/>
      <c r="M61" s="267"/>
      <c r="N61" s="28">
        <f t="shared" si="31"/>
        <v>0</v>
      </c>
      <c r="O61" s="28">
        <f t="shared" si="33"/>
        <v>0</v>
      </c>
      <c r="P61" s="28">
        <f t="shared" si="33"/>
        <v>0</v>
      </c>
      <c r="Q61" s="28">
        <f t="shared" si="33"/>
        <v>0</v>
      </c>
      <c r="R61" s="28">
        <f t="shared" si="33"/>
        <v>0</v>
      </c>
      <c r="S61" s="28">
        <f t="shared" si="33"/>
        <v>0</v>
      </c>
      <c r="T61" s="28">
        <f t="shared" si="33"/>
        <v>0</v>
      </c>
      <c r="U61" s="28">
        <f t="shared" si="33"/>
        <v>0</v>
      </c>
      <c r="V61" s="28">
        <f t="shared" si="33"/>
        <v>0</v>
      </c>
      <c r="W61" s="28">
        <f t="shared" si="33"/>
        <v>0</v>
      </c>
      <c r="X61" s="28">
        <f t="shared" si="33"/>
        <v>0</v>
      </c>
      <c r="Y61" s="28">
        <f t="shared" si="33"/>
        <v>0</v>
      </c>
      <c r="Z61" s="28">
        <f t="shared" si="33"/>
        <v>0</v>
      </c>
      <c r="AA61" s="28">
        <f t="shared" si="33"/>
        <v>0</v>
      </c>
      <c r="AB61" s="28">
        <f t="shared" si="33"/>
        <v>0</v>
      </c>
      <c r="AC61" s="28">
        <f t="shared" si="33"/>
        <v>0</v>
      </c>
      <c r="AD61" s="28">
        <f t="shared" si="33"/>
        <v>0</v>
      </c>
      <c r="AE61" s="28">
        <f t="shared" si="33"/>
        <v>0</v>
      </c>
      <c r="AF61" s="28">
        <f t="shared" si="33"/>
        <v>0</v>
      </c>
      <c r="AG61" s="28">
        <f t="shared" si="33"/>
        <v>0</v>
      </c>
      <c r="AH61" s="28">
        <f t="shared" si="33"/>
        <v>0</v>
      </c>
      <c r="AI61" s="28">
        <f t="shared" si="33"/>
        <v>0</v>
      </c>
      <c r="AJ61" s="28">
        <f t="shared" si="33"/>
        <v>0</v>
      </c>
      <c r="AK61" s="28">
        <f t="shared" si="33"/>
        <v>0</v>
      </c>
      <c r="AL61" s="28">
        <f t="shared" si="33"/>
        <v>0</v>
      </c>
      <c r="AM61" s="28">
        <f t="shared" si="33"/>
        <v>0</v>
      </c>
      <c r="AN61" s="28">
        <f t="shared" si="33"/>
        <v>0</v>
      </c>
      <c r="AO61" s="68"/>
      <c r="AP61" s="68"/>
      <c r="AQ61" s="68"/>
      <c r="AR61" s="68"/>
      <c r="AS61" s="68"/>
      <c r="AT61" s="68"/>
      <c r="AU61" s="68"/>
      <c r="AV61" s="68"/>
      <c r="AW61" s="68"/>
      <c r="AX61" s="68"/>
      <c r="AY61" s="68"/>
      <c r="AZ61" s="68"/>
      <c r="BA61" s="68"/>
      <c r="BB61" s="68"/>
      <c r="BC61" s="68"/>
      <c r="BD61" s="68"/>
      <c r="BE61" s="68"/>
      <c r="BF61" s="68"/>
      <c r="BG61" s="68"/>
      <c r="BH61" s="68"/>
      <c r="BI61" s="68"/>
      <c r="BJ61" s="68"/>
      <c r="BK61" s="68"/>
      <c r="BL61" s="68"/>
      <c r="BM61" s="68"/>
      <c r="BN61" s="68"/>
      <c r="BO61" s="68"/>
      <c r="BP61" s="68"/>
      <c r="BQ61" s="68"/>
      <c r="BR61" s="68"/>
      <c r="BS61" s="68"/>
      <c r="BT61" s="68"/>
      <c r="BU61" s="68"/>
      <c r="BV61" s="68"/>
      <c r="BW61" s="68"/>
      <c r="BX61" s="68"/>
      <c r="BY61" s="68"/>
      <c r="BZ61" s="68"/>
      <c r="CA61" s="68"/>
      <c r="CB61" s="68"/>
      <c r="CC61" s="68"/>
      <c r="CD61" s="68"/>
      <c r="CE61" s="68"/>
      <c r="CF61" s="68"/>
      <c r="CG61" s="68"/>
      <c r="CH61" s="68"/>
      <c r="CI61" s="68"/>
      <c r="CJ61" s="68"/>
      <c r="CK61" s="68"/>
      <c r="CL61" s="68"/>
      <c r="CM61" s="68"/>
      <c r="CN61" s="68"/>
      <c r="CO61" s="68"/>
      <c r="CP61" s="68"/>
      <c r="CQ61" s="68"/>
      <c r="CR61" s="68"/>
      <c r="CS61" s="68"/>
      <c r="CT61" s="68"/>
      <c r="CU61" s="68"/>
      <c r="CV61" s="68"/>
      <c r="CW61" s="68"/>
      <c r="CX61" s="68"/>
      <c r="CY61" s="68"/>
      <c r="CZ61" s="68"/>
      <c r="DA61" s="68"/>
      <c r="DB61" s="68"/>
      <c r="DC61" s="68"/>
      <c r="DD61" s="68"/>
      <c r="DE61" s="68"/>
      <c r="DF61" s="68"/>
      <c r="DG61" s="68"/>
      <c r="DH61" s="68"/>
      <c r="DI61" s="68"/>
      <c r="DJ61" s="68"/>
      <c r="DK61" s="68"/>
      <c r="DL61" s="68"/>
      <c r="DM61" s="68"/>
      <c r="DN61" s="68"/>
      <c r="DO61" s="68"/>
      <c r="DP61" s="68"/>
      <c r="DQ61" s="68"/>
      <c r="DR61" s="68"/>
      <c r="DS61" s="68"/>
      <c r="DT61" s="68"/>
      <c r="DU61" s="68"/>
      <c r="DV61" s="68"/>
      <c r="DW61" s="68"/>
      <c r="DX61" s="68"/>
      <c r="DY61" s="68"/>
      <c r="DZ61" s="68"/>
      <c r="EA61" s="68"/>
      <c r="EB61" s="68"/>
      <c r="EC61" s="68"/>
      <c r="ED61" s="68"/>
      <c r="EE61" s="68"/>
      <c r="EF61" s="68"/>
      <c r="EG61" s="68"/>
      <c r="EH61" s="68"/>
      <c r="EI61" s="68"/>
      <c r="EJ61" s="68"/>
      <c r="EK61" s="68"/>
      <c r="EL61" s="68"/>
      <c r="EM61" s="68"/>
      <c r="EN61" s="68"/>
      <c r="EO61" s="68"/>
      <c r="EP61" s="68"/>
      <c r="EQ61" s="68"/>
      <c r="ER61" s="68"/>
      <c r="ES61" s="68"/>
      <c r="ET61" s="68"/>
      <c r="EU61" s="68"/>
      <c r="EV61" s="68"/>
      <c r="EW61" s="68"/>
      <c r="EX61" s="68"/>
      <c r="EY61" s="68"/>
      <c r="EZ61" s="68"/>
      <c r="FA61" s="68"/>
      <c r="FB61" s="68"/>
      <c r="FC61" s="68"/>
      <c r="FD61" s="68"/>
      <c r="FE61" s="68"/>
      <c r="FF61" s="68"/>
      <c r="FG61" s="68"/>
      <c r="FH61" s="68"/>
      <c r="FI61" s="68"/>
      <c r="FJ61" s="68"/>
      <c r="FK61" s="68"/>
      <c r="FL61" s="68"/>
      <c r="FM61" s="68"/>
      <c r="FN61" s="68"/>
    </row>
    <row r="62" spans="1:170" s="24" customFormat="1" ht="11.5" x14ac:dyDescent="0.25">
      <c r="A62" s="44" t="s">
        <v>49</v>
      </c>
      <c r="E62" s="28">
        <v>150864</v>
      </c>
      <c r="F62" s="28">
        <v>457523</v>
      </c>
      <c r="G62" s="28">
        <v>560944</v>
      </c>
      <c r="H62" s="28">
        <v>530651</v>
      </c>
      <c r="I62" s="28">
        <v>440059</v>
      </c>
      <c r="J62" s="42">
        <v>475157</v>
      </c>
      <c r="K62" s="28">
        <v>428809</v>
      </c>
      <c r="L62" s="28">
        <v>723030</v>
      </c>
      <c r="M62" s="267">
        <v>831480</v>
      </c>
      <c r="N62" s="28">
        <f t="shared" si="31"/>
        <v>831480</v>
      </c>
      <c r="O62" s="28">
        <f t="shared" si="33"/>
        <v>831480</v>
      </c>
      <c r="P62" s="28">
        <f t="shared" si="33"/>
        <v>831480</v>
      </c>
      <c r="Q62" s="28">
        <f t="shared" si="33"/>
        <v>831480</v>
      </c>
      <c r="R62" s="28">
        <f t="shared" si="33"/>
        <v>831480</v>
      </c>
      <c r="S62" s="28">
        <f t="shared" si="33"/>
        <v>831480</v>
      </c>
      <c r="T62" s="28">
        <f t="shared" si="33"/>
        <v>831480</v>
      </c>
      <c r="U62" s="28">
        <f t="shared" si="33"/>
        <v>831480</v>
      </c>
      <c r="V62" s="28">
        <f t="shared" si="33"/>
        <v>831480</v>
      </c>
      <c r="W62" s="28">
        <f t="shared" si="33"/>
        <v>831480</v>
      </c>
      <c r="X62" s="28">
        <f t="shared" si="33"/>
        <v>831480</v>
      </c>
      <c r="Y62" s="28">
        <f t="shared" si="33"/>
        <v>831480</v>
      </c>
      <c r="Z62" s="28">
        <f t="shared" si="33"/>
        <v>831480</v>
      </c>
      <c r="AA62" s="28">
        <f t="shared" si="33"/>
        <v>831480</v>
      </c>
      <c r="AB62" s="28">
        <f t="shared" si="33"/>
        <v>831480</v>
      </c>
      <c r="AC62" s="28">
        <f t="shared" si="33"/>
        <v>831480</v>
      </c>
      <c r="AD62" s="28">
        <f t="shared" si="33"/>
        <v>831480</v>
      </c>
      <c r="AE62" s="28">
        <f t="shared" si="33"/>
        <v>831480</v>
      </c>
      <c r="AF62" s="28">
        <f t="shared" si="33"/>
        <v>831480</v>
      </c>
      <c r="AG62" s="28">
        <f t="shared" si="33"/>
        <v>831480</v>
      </c>
      <c r="AH62" s="28">
        <f t="shared" si="33"/>
        <v>831480</v>
      </c>
      <c r="AI62" s="28">
        <f t="shared" si="33"/>
        <v>831480</v>
      </c>
      <c r="AJ62" s="28">
        <f t="shared" si="33"/>
        <v>831480</v>
      </c>
      <c r="AK62" s="28">
        <f t="shared" si="33"/>
        <v>831480</v>
      </c>
      <c r="AL62" s="28">
        <f t="shared" si="33"/>
        <v>831480</v>
      </c>
      <c r="AM62" s="28">
        <f t="shared" si="33"/>
        <v>831480</v>
      </c>
      <c r="AN62" s="28">
        <f t="shared" si="33"/>
        <v>831480</v>
      </c>
      <c r="AO62" s="68"/>
      <c r="AP62" s="68"/>
      <c r="AQ62" s="68"/>
      <c r="AR62" s="68"/>
      <c r="AS62" s="68"/>
      <c r="AT62" s="68"/>
      <c r="AU62" s="68"/>
      <c r="AV62" s="68"/>
      <c r="AW62" s="68"/>
      <c r="AX62" s="68"/>
      <c r="AY62" s="68"/>
      <c r="AZ62" s="68"/>
      <c r="BA62" s="68"/>
      <c r="BB62" s="68"/>
      <c r="BC62" s="68"/>
      <c r="BD62" s="68"/>
      <c r="BE62" s="68"/>
      <c r="BF62" s="68"/>
      <c r="BG62" s="68"/>
      <c r="BH62" s="68"/>
      <c r="BI62" s="68"/>
      <c r="BJ62" s="68"/>
      <c r="BK62" s="68"/>
      <c r="BL62" s="68"/>
      <c r="BM62" s="68"/>
      <c r="BN62" s="68"/>
      <c r="BO62" s="68"/>
      <c r="BP62" s="68"/>
      <c r="BQ62" s="68"/>
      <c r="BR62" s="68"/>
      <c r="BS62" s="68"/>
      <c r="BT62" s="68"/>
      <c r="BU62" s="68"/>
      <c r="BV62" s="68"/>
      <c r="BW62" s="68"/>
      <c r="BX62" s="68"/>
      <c r="BY62" s="68"/>
      <c r="BZ62" s="68"/>
      <c r="CA62" s="68"/>
      <c r="CB62" s="68"/>
      <c r="CC62" s="68"/>
      <c r="CD62" s="68"/>
      <c r="CE62" s="68"/>
      <c r="CF62" s="68"/>
      <c r="CG62" s="68"/>
      <c r="CH62" s="68"/>
      <c r="CI62" s="68"/>
      <c r="CJ62" s="68"/>
      <c r="CK62" s="68"/>
      <c r="CL62" s="68"/>
      <c r="CM62" s="68"/>
      <c r="CN62" s="68"/>
      <c r="CO62" s="68"/>
      <c r="CP62" s="68"/>
      <c r="CQ62" s="68"/>
      <c r="CR62" s="68"/>
      <c r="CS62" s="68"/>
      <c r="CT62" s="68"/>
      <c r="CU62" s="68"/>
      <c r="CV62" s="68"/>
      <c r="CW62" s="68"/>
      <c r="CX62" s="68"/>
      <c r="CY62" s="68"/>
      <c r="CZ62" s="68"/>
      <c r="DA62" s="68"/>
      <c r="DB62" s="68"/>
      <c r="DC62" s="68"/>
      <c r="DD62" s="68"/>
      <c r="DE62" s="68"/>
      <c r="DF62" s="68"/>
      <c r="DG62" s="68"/>
      <c r="DH62" s="68"/>
      <c r="DI62" s="68"/>
      <c r="DJ62" s="68"/>
      <c r="DK62" s="68"/>
      <c r="DL62" s="68"/>
      <c r="DM62" s="68"/>
      <c r="DN62" s="68"/>
      <c r="DO62" s="68"/>
      <c r="DP62" s="68"/>
      <c r="DQ62" s="68"/>
      <c r="DR62" s="68"/>
      <c r="DS62" s="68"/>
      <c r="DT62" s="68"/>
      <c r="DU62" s="68"/>
      <c r="DV62" s="68"/>
      <c r="DW62" s="68"/>
      <c r="DX62" s="68"/>
      <c r="DY62" s="68"/>
      <c r="DZ62" s="68"/>
      <c r="EA62" s="68"/>
      <c r="EB62" s="68"/>
      <c r="EC62" s="68"/>
      <c r="ED62" s="68"/>
      <c r="EE62" s="68"/>
      <c r="EF62" s="68"/>
      <c r="EG62" s="68"/>
      <c r="EH62" s="68"/>
      <c r="EI62" s="68"/>
      <c r="EJ62" s="68"/>
      <c r="EK62" s="68"/>
      <c r="EL62" s="68"/>
      <c r="EM62" s="68"/>
      <c r="EN62" s="68"/>
      <c r="EO62" s="68"/>
      <c r="EP62" s="68"/>
      <c r="EQ62" s="68"/>
      <c r="ER62" s="68"/>
      <c r="ES62" s="68"/>
      <c r="ET62" s="68"/>
      <c r="EU62" s="68"/>
      <c r="EV62" s="68"/>
      <c r="EW62" s="68"/>
      <c r="EX62" s="68"/>
      <c r="EY62" s="68"/>
      <c r="EZ62" s="68"/>
      <c r="FA62" s="68"/>
      <c r="FB62" s="68"/>
      <c r="FC62" s="68"/>
      <c r="FD62" s="68"/>
      <c r="FE62" s="68"/>
      <c r="FF62" s="68"/>
      <c r="FG62" s="68"/>
      <c r="FH62" s="68"/>
      <c r="FI62" s="68"/>
      <c r="FJ62" s="68"/>
      <c r="FK62" s="68"/>
      <c r="FL62" s="68"/>
      <c r="FM62" s="68"/>
      <c r="FN62" s="68"/>
    </row>
    <row r="63" spans="1:170" s="1" customFormat="1" thickBot="1" x14ac:dyDescent="0.35">
      <c r="A63" s="71"/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2"/>
      <c r="M63" s="269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72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</row>
    <row r="64" spans="1:170" s="1" customFormat="1" thickTop="1" x14ac:dyDescent="0.3">
      <c r="A64" s="237"/>
      <c r="B64" s="237"/>
      <c r="C64" s="237"/>
      <c r="D64" s="237"/>
      <c r="E64" s="237"/>
      <c r="F64" s="237"/>
      <c r="G64" s="237"/>
      <c r="H64" s="237"/>
      <c r="I64" s="237"/>
      <c r="J64" s="237"/>
      <c r="K64" s="237"/>
      <c r="L64" s="238"/>
      <c r="M64" s="276"/>
      <c r="N64" s="238"/>
      <c r="O64" s="238"/>
      <c r="P64" s="238"/>
      <c r="Q64" s="238"/>
      <c r="R64" s="238"/>
      <c r="S64" s="238"/>
      <c r="T64" s="238"/>
      <c r="U64" s="238"/>
      <c r="V64" s="238"/>
      <c r="W64" s="238"/>
      <c r="X64" s="238"/>
      <c r="Y64" s="238"/>
      <c r="Z64" s="238"/>
      <c r="AA64" s="238"/>
      <c r="AB64" s="238"/>
      <c r="AC64" s="238"/>
      <c r="AD64" s="238"/>
      <c r="AE64" s="238"/>
      <c r="AF64" s="238"/>
      <c r="AG64" s="238"/>
      <c r="AH64" s="238"/>
      <c r="AI64" s="238"/>
      <c r="AJ64" s="238"/>
      <c r="AK64" s="238"/>
      <c r="AL64" s="238"/>
      <c r="AM64" s="238"/>
      <c r="AN64" s="238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</row>
    <row r="65" spans="1:40" ht="18" x14ac:dyDescent="0.35">
      <c r="A65" s="352" t="s">
        <v>149</v>
      </c>
      <c r="B65" s="352"/>
      <c r="C65" s="352"/>
      <c r="D65" s="352"/>
      <c r="E65" s="352"/>
      <c r="F65" s="352"/>
      <c r="G65" s="9"/>
      <c r="H65" s="9"/>
      <c r="I65" s="9"/>
      <c r="J65" s="9"/>
      <c r="K65" s="9"/>
      <c r="L65" s="9"/>
      <c r="M65" s="277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</row>
    <row r="66" spans="1:40" s="2" customFormat="1" x14ac:dyDescent="0.35">
      <c r="A66" s="5"/>
      <c r="B66" s="5"/>
      <c r="C66" s="5"/>
      <c r="D66" s="5"/>
      <c r="E66" s="6">
        <v>2015</v>
      </c>
      <c r="F66" s="6">
        <v>2016</v>
      </c>
      <c r="G66" s="6">
        <v>2017</v>
      </c>
      <c r="H66" s="6">
        <v>2018</v>
      </c>
      <c r="I66" s="6">
        <v>2019</v>
      </c>
      <c r="J66" s="6">
        <v>2020</v>
      </c>
      <c r="K66" s="6">
        <v>2021</v>
      </c>
      <c r="L66" s="7">
        <v>2022</v>
      </c>
      <c r="M66" s="270">
        <v>2023</v>
      </c>
      <c r="N66" s="7">
        <v>2024</v>
      </c>
      <c r="O66" s="7">
        <v>2025</v>
      </c>
      <c r="P66" s="7">
        <v>2026</v>
      </c>
      <c r="Q66" s="7">
        <v>2027</v>
      </c>
      <c r="R66" s="7">
        <v>2028</v>
      </c>
      <c r="S66" s="7">
        <v>2029</v>
      </c>
      <c r="T66" s="7">
        <v>2030</v>
      </c>
      <c r="U66" s="7">
        <v>2031</v>
      </c>
      <c r="V66" s="7">
        <v>2032</v>
      </c>
      <c r="W66" s="7">
        <v>2033</v>
      </c>
      <c r="X66" s="7">
        <v>2034</v>
      </c>
      <c r="Y66" s="7">
        <v>2035</v>
      </c>
      <c r="Z66" s="7">
        <v>2036</v>
      </c>
      <c r="AA66" s="7">
        <v>2037</v>
      </c>
      <c r="AB66" s="7">
        <v>2038</v>
      </c>
      <c r="AC66" s="7">
        <v>2039</v>
      </c>
      <c r="AD66" s="7">
        <v>2040</v>
      </c>
      <c r="AE66" s="7">
        <v>2041</v>
      </c>
      <c r="AF66" s="7">
        <v>2042</v>
      </c>
      <c r="AG66" s="7">
        <v>2043</v>
      </c>
      <c r="AH66" s="7">
        <v>2044</v>
      </c>
      <c r="AI66" s="7">
        <v>2045</v>
      </c>
      <c r="AJ66" s="7">
        <v>2046</v>
      </c>
      <c r="AK66" s="7">
        <v>2047</v>
      </c>
      <c r="AL66" s="7">
        <v>2048</v>
      </c>
      <c r="AM66" s="7">
        <v>2049</v>
      </c>
      <c r="AN66" s="7">
        <v>2050</v>
      </c>
    </row>
    <row r="67" spans="1:40" x14ac:dyDescent="0.35">
      <c r="A67" s="81" t="s">
        <v>8</v>
      </c>
      <c r="B67" s="81"/>
      <c r="C67" s="9"/>
      <c r="D67" s="9"/>
      <c r="E67" s="10">
        <f t="shared" ref="E67:J67" si="34">E75+E88+E91+E100+E103+E106</f>
        <v>34697318</v>
      </c>
      <c r="F67" s="10">
        <f t="shared" si="34"/>
        <v>38523506</v>
      </c>
      <c r="G67" s="10">
        <f t="shared" si="34"/>
        <v>39251629</v>
      </c>
      <c r="H67" s="10">
        <f t="shared" si="34"/>
        <v>40981146</v>
      </c>
      <c r="I67" s="10">
        <f t="shared" si="34"/>
        <v>46733173</v>
      </c>
      <c r="J67" s="10">
        <f t="shared" si="34"/>
        <v>47203579</v>
      </c>
      <c r="K67" s="10">
        <f>K75++K88+K91+K100+K103+K106</f>
        <v>53726491.740000002</v>
      </c>
      <c r="L67" s="10">
        <f>L75++L88+L91+L100+L103+L106</f>
        <v>54629269.792000003</v>
      </c>
      <c r="M67" s="271">
        <f t="shared" ref="M67" si="35">M75++M88+M91+M100+M103+M106</f>
        <v>75616970.862399995</v>
      </c>
      <c r="N67" s="10">
        <f>N75+N88+N91+N100+N103+N106</f>
        <v>77619098.100447997</v>
      </c>
      <c r="O67" s="10">
        <f t="shared" ref="O67:AN67" si="36">O75++O88+O91+O100+O103+O106</f>
        <v>78698135.874856964</v>
      </c>
      <c r="P67" s="10">
        <f t="shared" si="36"/>
        <v>80791813.162532091</v>
      </c>
      <c r="Q67" s="10">
        <f t="shared" si="36"/>
        <v>80791813.162532091</v>
      </c>
      <c r="R67" s="10">
        <f t="shared" si="36"/>
        <v>80791813.162532091</v>
      </c>
      <c r="S67" s="10">
        <f t="shared" si="36"/>
        <v>80791813.162532091</v>
      </c>
      <c r="T67" s="10">
        <f t="shared" si="36"/>
        <v>80791813.162532091</v>
      </c>
      <c r="U67" s="10">
        <f t="shared" si="36"/>
        <v>80791813.162532091</v>
      </c>
      <c r="V67" s="10">
        <f t="shared" si="36"/>
        <v>80791813.162532091</v>
      </c>
      <c r="W67" s="10">
        <f t="shared" si="36"/>
        <v>80791813.162532091</v>
      </c>
      <c r="X67" s="10">
        <f t="shared" si="36"/>
        <v>80791813.162532091</v>
      </c>
      <c r="Y67" s="10">
        <f t="shared" si="36"/>
        <v>80791813.162532091</v>
      </c>
      <c r="Z67" s="10">
        <f t="shared" si="36"/>
        <v>80791813.162532091</v>
      </c>
      <c r="AA67" s="10">
        <f t="shared" si="36"/>
        <v>80791813.162532091</v>
      </c>
      <c r="AB67" s="10">
        <f t="shared" si="36"/>
        <v>80791813.162532091</v>
      </c>
      <c r="AC67" s="10">
        <f t="shared" si="36"/>
        <v>80791813.162532091</v>
      </c>
      <c r="AD67" s="10">
        <f t="shared" si="36"/>
        <v>80791813.162532091</v>
      </c>
      <c r="AE67" s="10">
        <f t="shared" si="36"/>
        <v>80791813.162532091</v>
      </c>
      <c r="AF67" s="10">
        <f t="shared" si="36"/>
        <v>80791813.162532091</v>
      </c>
      <c r="AG67" s="10">
        <f t="shared" si="36"/>
        <v>80791813.162532091</v>
      </c>
      <c r="AH67" s="10">
        <f t="shared" si="36"/>
        <v>80791813.162532091</v>
      </c>
      <c r="AI67" s="10">
        <f t="shared" si="36"/>
        <v>80791813.162532091</v>
      </c>
      <c r="AJ67" s="10">
        <f t="shared" si="36"/>
        <v>80791813.162532091</v>
      </c>
      <c r="AK67" s="10">
        <f t="shared" si="36"/>
        <v>80791813.162532091</v>
      </c>
      <c r="AL67" s="10">
        <f t="shared" si="36"/>
        <v>80791813.162532091</v>
      </c>
      <c r="AM67" s="10">
        <f t="shared" si="36"/>
        <v>80791813.162532091</v>
      </c>
      <c r="AN67" s="10">
        <f t="shared" si="36"/>
        <v>80791813.162532091</v>
      </c>
    </row>
    <row r="68" spans="1:40" s="3" customFormat="1" ht="14" x14ac:dyDescent="0.3">
      <c r="A68" s="353" t="s">
        <v>152</v>
      </c>
      <c r="B68" s="353"/>
      <c r="C68" s="353"/>
      <c r="E68" s="58"/>
      <c r="F68" s="15">
        <f t="shared" ref="F68" si="37">(F67-E67)/E67</f>
        <v>0.11027330700315223</v>
      </c>
      <c r="G68" s="15">
        <f t="shared" ref="G68" si="38">(G67-F67)/F67</f>
        <v>1.890074594975857E-2</v>
      </c>
      <c r="H68" s="15">
        <f t="shared" ref="H68" si="39">(H67-G67)/G67</f>
        <v>4.4062298662814733E-2</v>
      </c>
      <c r="I68" s="15">
        <f t="shared" ref="I68" si="40">(I67-H67)/H67</f>
        <v>0.14035788555058953</v>
      </c>
      <c r="J68" s="15">
        <f t="shared" ref="J68" si="41">(J67-I67)/I67</f>
        <v>1.006578346392187E-2</v>
      </c>
      <c r="K68" s="15">
        <f t="shared" ref="K68" si="42">(K67-J67)/J67</f>
        <v>0.13818682562184537</v>
      </c>
      <c r="L68" s="15">
        <f t="shared" ref="L68" si="43">(L67-K67)/K67</f>
        <v>1.6803219841132346E-2</v>
      </c>
      <c r="M68" s="272">
        <f t="shared" ref="M68" si="44">(M67-L67)/L67</f>
        <v>0.38418417727914539</v>
      </c>
      <c r="N68" s="15">
        <f t="shared" ref="N68" si="45">(N67-M67)/M67</f>
        <v>2.6477220856826807E-2</v>
      </c>
      <c r="O68" s="15">
        <f t="shared" ref="O68" si="46">(O67-N67)/N67</f>
        <v>1.3901704616724197E-2</v>
      </c>
      <c r="P68" s="15">
        <f t="shared" ref="P68" si="47">(P67-O67)/O67</f>
        <v>2.6603899373225562E-2</v>
      </c>
      <c r="Q68" s="15">
        <f t="shared" ref="Q68" si="48">(Q67-P67)/P67</f>
        <v>0</v>
      </c>
      <c r="R68" s="15">
        <f t="shared" ref="R68" si="49">(R67-Q67)/Q67</f>
        <v>0</v>
      </c>
      <c r="S68" s="15">
        <f t="shared" ref="S68" si="50">(S67-R67)/R67</f>
        <v>0</v>
      </c>
      <c r="T68" s="15">
        <f t="shared" ref="T68" si="51">(T67-S67)/S67</f>
        <v>0</v>
      </c>
      <c r="U68" s="15">
        <f t="shared" ref="U68" si="52">(U67-T67)/T67</f>
        <v>0</v>
      </c>
      <c r="V68" s="15">
        <f t="shared" ref="V68" si="53">(V67-U67)/U67</f>
        <v>0</v>
      </c>
      <c r="W68" s="15">
        <f t="shared" ref="W68" si="54">(W67-V67)/V67</f>
        <v>0</v>
      </c>
      <c r="X68" s="15">
        <f t="shared" ref="X68" si="55">(X67-W67)/W67</f>
        <v>0</v>
      </c>
      <c r="Y68" s="15">
        <f t="shared" ref="Y68" si="56">(Y67-X67)/X67</f>
        <v>0</v>
      </c>
      <c r="Z68" s="15">
        <f t="shared" ref="Z68" si="57">(Z67-Y67)/Y67</f>
        <v>0</v>
      </c>
      <c r="AA68" s="15">
        <f t="shared" ref="AA68" si="58">(AA67-Z67)/Z67</f>
        <v>0</v>
      </c>
      <c r="AB68" s="15">
        <f t="shared" ref="AB68" si="59">(AB67-AA67)/AA67</f>
        <v>0</v>
      </c>
      <c r="AC68" s="15">
        <f t="shared" ref="AC68" si="60">(AC67-AB67)/AB67</f>
        <v>0</v>
      </c>
      <c r="AD68" s="15">
        <f t="shared" ref="AD68" si="61">(AD67-AC67)/AC67</f>
        <v>0</v>
      </c>
      <c r="AE68" s="15">
        <f t="shared" ref="AE68" si="62">(AE67-AD67)/AD67</f>
        <v>0</v>
      </c>
      <c r="AF68" s="15">
        <f t="shared" ref="AF68" si="63">(AF67-AE67)/AE67</f>
        <v>0</v>
      </c>
      <c r="AG68" s="15">
        <f t="shared" ref="AG68" si="64">(AG67-AF67)/AF67</f>
        <v>0</v>
      </c>
      <c r="AH68" s="15">
        <f t="shared" ref="AH68" si="65">(AH67-AG67)/AG67</f>
        <v>0</v>
      </c>
      <c r="AI68" s="15">
        <f t="shared" ref="AI68" si="66">(AI67-AH67)/AH67</f>
        <v>0</v>
      </c>
      <c r="AJ68" s="15">
        <f t="shared" ref="AJ68" si="67">(AJ67-AI67)/AI67</f>
        <v>0</v>
      </c>
      <c r="AK68" s="15">
        <f t="shared" ref="AK68" si="68">(AK67-AJ67)/AJ67</f>
        <v>0</v>
      </c>
      <c r="AL68" s="15">
        <f t="shared" ref="AL68" si="69">(AL67-AK67)/AK67</f>
        <v>0</v>
      </c>
      <c r="AM68" s="15">
        <f t="shared" ref="AM68" si="70">(AM67-AL67)/AL67</f>
        <v>0</v>
      </c>
      <c r="AN68" s="15">
        <f t="shared" ref="AN68" si="71">(AN67-AM67)/AM67</f>
        <v>0</v>
      </c>
    </row>
    <row r="69" spans="1:40" s="3" customFormat="1" ht="14" x14ac:dyDescent="0.3">
      <c r="A69" s="248"/>
      <c r="B69" s="248"/>
      <c r="C69" s="248"/>
      <c r="E69" s="58"/>
      <c r="F69" s="15"/>
      <c r="G69" s="15"/>
      <c r="H69" s="15"/>
      <c r="I69" s="15"/>
      <c r="J69" s="15"/>
      <c r="K69" s="15"/>
      <c r="L69" s="15"/>
      <c r="M69" s="272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</row>
    <row r="70" spans="1:40" s="3" customFormat="1" ht="14" x14ac:dyDescent="0.3">
      <c r="A70" s="253" t="s">
        <v>153</v>
      </c>
      <c r="B70" s="253"/>
      <c r="C70" s="253"/>
      <c r="D70" s="250" t="s">
        <v>154</v>
      </c>
      <c r="E70" s="254">
        <f>((E71*'[1]Status quo+Base Case'!B35)+(E72*'[1]Status quo+Base Case'!B54))+E73</f>
        <v>34697318</v>
      </c>
      <c r="F70" s="254">
        <f>((F71*'[1]Status quo+Base Case'!C35)+(F72*'[1]Status quo+Base Case'!C54))+F73</f>
        <v>38523506</v>
      </c>
      <c r="G70" s="254">
        <f>((G71*'[1]Status quo+Base Case'!D35)+(G72*'[1]Status quo+Base Case'!D54))+G73</f>
        <v>39251629</v>
      </c>
      <c r="H70" s="254">
        <f>((H71*'[1]Status quo+Base Case'!E35)+(H72*'[1]Status quo+Base Case'!E54))+H73</f>
        <v>40981146</v>
      </c>
      <c r="I70" s="254">
        <f>((I71*'[1]Status quo+Base Case'!F35)+(I72*'[1]Status quo+Base Case'!F54))+I73</f>
        <v>46733173</v>
      </c>
      <c r="J70" s="254">
        <f>((J71*'[1]Status quo+Base Case'!G35)+(J72*'[1]Status quo+Base Case'!G54))+J73</f>
        <v>47203579</v>
      </c>
      <c r="K70" s="254">
        <f>((K71*'[1]Status quo+Base Case'!H35)+(K72*'[1]Status quo+Base Case'!H54))+K73</f>
        <v>53726491.740000002</v>
      </c>
      <c r="L70" s="254">
        <f>((L71*'[1]Status quo+Base Case'!I35)+(L72*'[1]Status quo+Base Case'!I54))+L73</f>
        <v>54629269.792000003</v>
      </c>
      <c r="M70" s="273">
        <f>((M71*'[1]Status quo+Base Case'!J35)+(M72*'[1]Status quo+Base Case'!J54))+M73</f>
        <v>75616970.862399995</v>
      </c>
      <c r="N70" s="254">
        <f>((N71*'[1]Status quo+Base Case'!K35)+(N72*'[1]Status quo+Base Case'!K54))+N73</f>
        <v>77619098.100447997</v>
      </c>
      <c r="O70" s="254">
        <f>((O71*'[1]Status quo+Base Case'!L35)+(O72*'[1]Status quo+Base Case'!L54))+O73</f>
        <v>78698135.874856964</v>
      </c>
      <c r="P70" s="254">
        <f>((P71*'[1]Status quo+Base Case'!M35)+(P72*'[1]Status quo+Base Case'!M54))+P73</f>
        <v>80791813.162532091</v>
      </c>
      <c r="Q70" s="254">
        <f>((Q71*'[1]Status quo+Base Case'!N35)+(Q72*'[1]Status quo+Base Case'!N54))+Q73</f>
        <v>80791813.162532076</v>
      </c>
      <c r="R70" s="254">
        <f>((R71*'[1]Status quo+Base Case'!O35)+(R72*'[1]Status quo+Base Case'!O54))+R73</f>
        <v>80791813.162532076</v>
      </c>
      <c r="S70" s="254">
        <f>((S71*'[1]Status quo+Base Case'!P35)+(S72*'[1]Status quo+Base Case'!P54))+S73</f>
        <v>80791813.162532091</v>
      </c>
      <c r="T70" s="254">
        <f>((T71*'[1]Status quo+Base Case'!Q35)+(T72*'[1]Status quo+Base Case'!Q54))+T73</f>
        <v>80791813.162532091</v>
      </c>
      <c r="U70" s="254">
        <f>((U71*'[1]Status quo+Base Case'!R35)+(U72*'[1]Status quo+Base Case'!R54))+U73</f>
        <v>80791813.162532091</v>
      </c>
      <c r="V70" s="254">
        <f>((V71*'[1]Status quo+Base Case'!S35)+(V72*'[1]Status quo+Base Case'!S54))+V73</f>
        <v>80791813.162532091</v>
      </c>
      <c r="W70" s="254">
        <f>((W71*'[1]Status quo+Base Case'!T35)+(W72*'[1]Status quo+Base Case'!T54))+W73</f>
        <v>80791813.162532091</v>
      </c>
      <c r="X70" s="254">
        <f>((X71*'[1]Status quo+Base Case'!U35)+(X72*'[1]Status quo+Base Case'!U54))+X73</f>
        <v>80791813.162532091</v>
      </c>
      <c r="Y70" s="254">
        <f>((Y71*'[1]Status quo+Base Case'!V35)+(Y72*'[1]Status quo+Base Case'!V54))+Y73</f>
        <v>80791813.162532091</v>
      </c>
      <c r="Z70" s="254">
        <f>((Z71*'[1]Status quo+Base Case'!W35)+(Z72*'[1]Status quo+Base Case'!W54))+Z73</f>
        <v>80791813.162532091</v>
      </c>
      <c r="AA70" s="254">
        <f>((AA71*'[1]Status quo+Base Case'!X35)+(AA72*'[1]Status quo+Base Case'!X54))+AA73</f>
        <v>80791813.162532091</v>
      </c>
      <c r="AB70" s="254">
        <f>((AB71*'[1]Status quo+Base Case'!Y35)+(AB72*'[1]Status quo+Base Case'!Y54))+AB73</f>
        <v>80791813.162532091</v>
      </c>
      <c r="AC70" s="254">
        <f>((AC71*'[1]Status quo+Base Case'!Z35)+(AC72*'[1]Status quo+Base Case'!Z54))+AC73</f>
        <v>80791813.162532091</v>
      </c>
      <c r="AD70" s="254">
        <f>((AD71*'[1]Status quo+Base Case'!AA35)+(AD72*'[1]Status quo+Base Case'!AA54))+AD73</f>
        <v>80791813.162532091</v>
      </c>
      <c r="AE70" s="254">
        <f>((AE71*'[1]Status quo+Base Case'!AB35)+(AE72*'[1]Status quo+Base Case'!AB54))+AE73</f>
        <v>80791813.162532091</v>
      </c>
      <c r="AF70" s="254">
        <f>((AF71*'[1]Status quo+Base Case'!AC35)+(AF72*'[1]Status quo+Base Case'!AC54))+AF73</f>
        <v>80791813.162532076</v>
      </c>
      <c r="AG70" s="254">
        <f>((AG71*'[1]Status quo+Base Case'!AD35)+(AG72*'[1]Status quo+Base Case'!AD54))+AG73</f>
        <v>80791813.162532091</v>
      </c>
      <c r="AH70" s="254">
        <f>((AH71*'[1]Status quo+Base Case'!AE35)+(AH72*'[1]Status quo+Base Case'!AE54))+AH73</f>
        <v>80791813.162532091</v>
      </c>
      <c r="AI70" s="254">
        <f>((AI71*'[1]Status quo+Base Case'!AF35)+(AI72*'[1]Status quo+Base Case'!AF54))+AI73</f>
        <v>80791813.162532091</v>
      </c>
      <c r="AJ70" s="254">
        <f>((AJ71*'[1]Status quo+Base Case'!AG35)+(AJ72*'[1]Status quo+Base Case'!AG54))+AJ73</f>
        <v>80791813.162532091</v>
      </c>
      <c r="AK70" s="254">
        <f>((AK71*'[1]Status quo+Base Case'!AH35)+(AK72*'[1]Status quo+Base Case'!AH54))+AK73</f>
        <v>80791813.162532091</v>
      </c>
      <c r="AL70" s="254">
        <f>((AL71*'[1]Status quo+Base Case'!AI35)+(AL72*'[1]Status quo+Base Case'!AI54))+AL73</f>
        <v>80791813.162532091</v>
      </c>
      <c r="AM70" s="254">
        <f>((AM71*'[1]Status quo+Base Case'!AJ35)+(AM72*'[1]Status quo+Base Case'!AJ54))+AM73</f>
        <v>80791813.162532091</v>
      </c>
      <c r="AN70" s="254">
        <f>((AN71*'[1]Status quo+Base Case'!AK35)+(AN72*'[1]Status quo+Base Case'!AK54))+AN73</f>
        <v>80791813.162532091</v>
      </c>
    </row>
    <row r="71" spans="1:40" s="3" customFormat="1" ht="14" x14ac:dyDescent="0.3">
      <c r="A71" s="248"/>
      <c r="B71" s="248"/>
      <c r="C71" s="248"/>
      <c r="D71" s="250" t="s">
        <v>155</v>
      </c>
      <c r="E71" s="249">
        <f>(E67*0.54)/'[1]Status quo+Base Case'!B35</f>
        <v>866.3500124843946</v>
      </c>
      <c r="F71" s="249">
        <f>(F67*0.54)/'[1]Status quo+Base Case'!C35</f>
        <v>947.68772447724484</v>
      </c>
      <c r="G71" s="249">
        <f>(G67*0.54)/'[1]Status quo+Base Case'!D35</f>
        <v>729.35823474759991</v>
      </c>
      <c r="H71" s="249">
        <f>(H67*0.54)/'[1]Status quo+Base Case'!E35</f>
        <v>802.61928188016827</v>
      </c>
      <c r="I71" s="249">
        <f>(I67*0.54)/'[1]Status quo+Base Case'!F35</f>
        <v>942.60578653469054</v>
      </c>
      <c r="J71" s="249">
        <f>(J67*0.54)/'[1]Status quo+Base Case'!G35</f>
        <v>1575.8845539412673</v>
      </c>
      <c r="K71" s="249">
        <f>(K67*0.54)/'[1]Status quo+Base Case'!H35</f>
        <v>2006.9386787216383</v>
      </c>
      <c r="L71" s="249">
        <f>(L67*0.54)/'[1]Status quo+Base Case'!I35</f>
        <v>1857.5768026598159</v>
      </c>
      <c r="M71" s="274">
        <f>(M67*0.54)/'[1]Status quo+Base Case'!J35</f>
        <v>2263.6739183823347</v>
      </c>
      <c r="N71" s="249">
        <f>(N67*0.54)/'[1]Status quo+Base Case'!K35</f>
        <v>2201.2803273359086</v>
      </c>
      <c r="O71" s="249">
        <f>(O67*0.54)/'[1]Status quo+Base Case'!L35</f>
        <v>2155.4771977953101</v>
      </c>
      <c r="P71" s="249">
        <f>(P67*0.54)/'[1]Status quo+Base Case'!M35</f>
        <v>2158.7204431989553</v>
      </c>
      <c r="Q71" s="249">
        <f>(Q67*0.54)/'[1]Status quo+Base Case'!N35</f>
        <v>2106.363965989578</v>
      </c>
      <c r="R71" s="249">
        <f>(R67*0.54)/'[1]Status quo+Base Case'!O35</f>
        <v>2086.5418187118162</v>
      </c>
      <c r="S71" s="249">
        <f>(S67*0.54)/'[1]Status quo+Base Case'!P35</f>
        <v>2067.5660324545615</v>
      </c>
      <c r="T71" s="249">
        <f>(T67*0.54)/'[1]Status quo+Base Case'!Q35</f>
        <v>2049.123917199764</v>
      </c>
      <c r="U71" s="249">
        <f>(U67*0.54)/'[1]Status quo+Base Case'!R35</f>
        <v>2046.4635146307442</v>
      </c>
      <c r="V71" s="249">
        <f>(V67*0.54)/'[1]Status quo+Base Case'!S35</f>
        <v>2044.2148782646525</v>
      </c>
      <c r="W71" s="249">
        <f>(W67*0.54)/'[1]Status quo+Base Case'!T35</f>
        <v>2042.3767391993731</v>
      </c>
      <c r="X71" s="249">
        <f>(X67*0.54)/'[1]Status quo+Base Case'!U35</f>
        <v>2040.9480755464911</v>
      </c>
      <c r="Y71" s="249">
        <f>(Y67*0.54)/'[1]Status quo+Base Case'!V35</f>
        <v>2039.7242410018901</v>
      </c>
      <c r="Z71" s="249">
        <f>(Z67*0.54)/'[1]Status quo+Base Case'!W35</f>
        <v>2038.7048885576116</v>
      </c>
      <c r="AA71" s="249">
        <f>(AA67*0.54)/'[1]Status quo+Base Case'!X35</f>
        <v>2037.8897326645454</v>
      </c>
      <c r="AB71" s="249">
        <f>(AB67*0.54)/'[1]Status quo+Base Case'!Y35</f>
        <v>2037.0749027034637</v>
      </c>
      <c r="AC71" s="249">
        <f>(AC67*0.54)/'[1]Status quo+Base Case'!Z35</f>
        <v>2036.4639635144092</v>
      </c>
      <c r="AD71" s="249">
        <f>(AD67*0.54)/'[1]Status quo+Base Case'!AA35</f>
        <v>2035.8532075521441</v>
      </c>
      <c r="AE71" s="249">
        <f>(AE67*0.54)/'[1]Status quo+Base Case'!AB35</f>
        <v>2050.6176546657375</v>
      </c>
      <c r="AF71" s="249">
        <f>(AF67*0.54)/'[1]Status quo+Base Case'!AC35</f>
        <v>2065.6972445509587</v>
      </c>
      <c r="AG71" s="249">
        <f>(AG67*0.54)/'[1]Status quo+Base Case'!AD35</f>
        <v>2080.8877249430438</v>
      </c>
      <c r="AH71" s="249">
        <f>(AH67*0.54)/'[1]Status quo+Base Case'!AE35</f>
        <v>2096.1899112955011</v>
      </c>
      <c r="AI71" s="249">
        <f>(AI67*0.54)/'[1]Status quo+Base Case'!AF35</f>
        <v>2111.6046250584272</v>
      </c>
      <c r="AJ71" s="249">
        <f>(AJ67*0.54)/'[1]Status quo+Base Case'!AG35</f>
        <v>2127.1326937226022</v>
      </c>
      <c r="AK71" s="249">
        <f>(AK67*0.54)/'[1]Status quo+Base Case'!AH35</f>
        <v>2142.7749508639081</v>
      </c>
      <c r="AL71" s="249">
        <f>(AL67*0.54)/'[1]Status quo+Base Case'!AI35</f>
        <v>2158.5322361880812</v>
      </c>
      <c r="AM71" s="249">
        <f>(AM67*0.54)/'[1]Status quo+Base Case'!AJ35</f>
        <v>2174.405395575785</v>
      </c>
      <c r="AN71" s="249">
        <f>(AN67*0.54)/'[1]Status quo+Base Case'!AK35</f>
        <v>2190.1746530779465</v>
      </c>
    </row>
    <row r="72" spans="1:40" s="3" customFormat="1" ht="14" x14ac:dyDescent="0.3">
      <c r="A72" s="248"/>
      <c r="B72" s="248"/>
      <c r="C72" s="248"/>
      <c r="D72" s="250" t="s">
        <v>156</v>
      </c>
      <c r="E72" s="249">
        <f>(E67*0.16)/'[1]Status quo+Base Case'!B54</f>
        <v>480.32279633154525</v>
      </c>
      <c r="F72" s="249">
        <f>(F67*0.16)/'[1]Status quo+Base Case'!C54</f>
        <v>488.21868990099011</v>
      </c>
      <c r="G72" s="249">
        <f>(G67*0.16)/'[1]Status quo+Base Case'!D54</f>
        <v>651.61450923428106</v>
      </c>
      <c r="H72" s="249">
        <f>(H67*0.16)/'[1]Status quo+Base Case'!E54</f>
        <v>633.95372329111478</v>
      </c>
      <c r="I72" s="249">
        <f>(I67*0.16)/'[1]Status quo+Base Case'!F54</f>
        <v>623.83678291339891</v>
      </c>
      <c r="J72" s="249">
        <f>(J67*0.16)/'[1]Status quo+Base Case'!G54</f>
        <v>842.45093586168434</v>
      </c>
      <c r="K72" s="249">
        <f>(K67*0.16)/'[1]Status quo+Base Case'!H54</f>
        <v>916.54106817357933</v>
      </c>
      <c r="L72" s="249">
        <f>(L67*0.16)/'[1]Status quo+Base Case'!I54</f>
        <v>686.06034086213958</v>
      </c>
      <c r="M72" s="274">
        <f>(M67*0.16)/'[1]Status quo+Base Case'!J54</f>
        <v>931.01359654912801</v>
      </c>
      <c r="N72" s="249">
        <f>(N67*0.16)/'[1]Status quo+Base Case'!K54</f>
        <v>936.92573447614507</v>
      </c>
      <c r="O72" s="249">
        <f>(O67*0.16)/'[1]Status quo+Base Case'!L54</f>
        <v>931.32411694572511</v>
      </c>
      <c r="P72" s="249">
        <f>(P67*0.16)/'[1]Status quo+Base Case'!M54</f>
        <v>937.35389219294825</v>
      </c>
      <c r="Q72" s="249">
        <f>(Q67*0.16)/'[1]Status quo+Base Case'!N54</f>
        <v>918.97440411073342</v>
      </c>
      <c r="R72" s="249">
        <f>(R67*0.16)/'[1]Status quo+Base Case'!O54</f>
        <v>900.95529814777774</v>
      </c>
      <c r="S72" s="249">
        <f>(S67*0.16)/'[1]Status quo+Base Case'!P54</f>
        <v>887.64068783032315</v>
      </c>
      <c r="T72" s="249">
        <f>(T67*0.16)/'[1]Status quo+Base Case'!Q54</f>
        <v>874.52284515302779</v>
      </c>
      <c r="U72" s="249">
        <f>(U67*0.16)/'[1]Status quo+Base Case'!R54</f>
        <v>861.59886221973181</v>
      </c>
      <c r="V72" s="249">
        <f>(V67*0.16)/'[1]Status quo+Base Case'!S54</f>
        <v>848.86587410811046</v>
      </c>
      <c r="W72" s="249">
        <f>(W67*0.16)/'[1]Status quo+Base Case'!T54</f>
        <v>836.32105823459165</v>
      </c>
      <c r="X72" s="249">
        <f>(X67*0.16)/'[1]Status quo+Base Case'!U54</f>
        <v>823.9616337286617</v>
      </c>
      <c r="Y72" s="249">
        <f>(Y67*0.16)/'[1]Status quo+Base Case'!V54</f>
        <v>811.78486081641552</v>
      </c>
      <c r="Z72" s="249">
        <f>(Z67*0.16)/'[1]Status quo+Base Case'!W54</f>
        <v>803.74738694694611</v>
      </c>
      <c r="AA72" s="249">
        <f>(AA67*0.16)/'[1]Status quo+Base Case'!X54</f>
        <v>795.78949202667923</v>
      </c>
      <c r="AB72" s="249">
        <f>(AB67*0.16)/'[1]Status quo+Base Case'!Y54</f>
        <v>787.91038814522688</v>
      </c>
      <c r="AC72" s="249">
        <f>(AC67*0.16)/'[1]Status quo+Base Case'!Z54</f>
        <v>780.10929519329409</v>
      </c>
      <c r="AD72" s="249">
        <f>(AD67*0.16)/'[1]Status quo+Base Case'!AA54</f>
        <v>772.38544078543976</v>
      </c>
      <c r="AE72" s="249">
        <f>(AE67*0.16)/'[1]Status quo+Base Case'!AB54</f>
        <v>764.73806018360369</v>
      </c>
      <c r="AF72" s="249">
        <f>(AF67*0.16)/'[1]Status quo+Base Case'!AC54</f>
        <v>757.16639622138973</v>
      </c>
      <c r="AG72" s="249">
        <f>(AG67*0.16)/'[1]Status quo+Base Case'!AD54</f>
        <v>749.66969922909891</v>
      </c>
      <c r="AH72" s="249">
        <f>(AH67*0.16)/'[1]Status quo+Base Case'!AE54</f>
        <v>742.24722695950379</v>
      </c>
      <c r="AI72" s="249">
        <f>(AI67*0.16)/'[1]Status quo+Base Case'!AF54</f>
        <v>742.24722695950379</v>
      </c>
      <c r="AJ72" s="249">
        <f>(AJ67*0.16)/'[1]Status quo+Base Case'!AG54</f>
        <v>742.24722695950379</v>
      </c>
      <c r="AK72" s="249">
        <f>(AK67*0.16)/'[1]Status quo+Base Case'!AH54</f>
        <v>742.24722695950379</v>
      </c>
      <c r="AL72" s="249">
        <f>(AL67*0.16)/'[1]Status quo+Base Case'!AI54</f>
        <v>742.24722695950379</v>
      </c>
      <c r="AM72" s="249">
        <f>(AM67*0.16)/'[1]Status quo+Base Case'!AJ54</f>
        <v>742.24722695950379</v>
      </c>
      <c r="AN72" s="249">
        <f>(AN67*0.16)/'[1]Status quo+Base Case'!AK54</f>
        <v>742.24722695950379</v>
      </c>
    </row>
    <row r="73" spans="1:40" s="3" customFormat="1" ht="14" x14ac:dyDescent="0.3">
      <c r="A73" s="248"/>
      <c r="B73" s="248"/>
      <c r="C73" s="248"/>
      <c r="D73" s="252" t="s">
        <v>157</v>
      </c>
      <c r="E73" s="251">
        <f t="shared" ref="E73:L73" si="72">E67*0.3</f>
        <v>10409195.4</v>
      </c>
      <c r="F73" s="251">
        <f t="shared" si="72"/>
        <v>11557051.799999999</v>
      </c>
      <c r="G73" s="251">
        <f t="shared" si="72"/>
        <v>11775488.699999999</v>
      </c>
      <c r="H73" s="251">
        <f t="shared" si="72"/>
        <v>12294343.799999999</v>
      </c>
      <c r="I73" s="251">
        <f t="shared" si="72"/>
        <v>14019951.9</v>
      </c>
      <c r="J73" s="251">
        <f t="shared" si="72"/>
        <v>14161073.699999999</v>
      </c>
      <c r="K73" s="251">
        <f t="shared" si="72"/>
        <v>16117947.522</v>
      </c>
      <c r="L73" s="251">
        <f t="shared" si="72"/>
        <v>16388780.9376</v>
      </c>
      <c r="M73" s="275">
        <f>M67*0.3</f>
        <v>22685091.258719999</v>
      </c>
      <c r="N73" s="251">
        <f t="shared" ref="N73:AN73" si="73">N67*0.3</f>
        <v>23285729.430134397</v>
      </c>
      <c r="O73" s="251">
        <f t="shared" si="73"/>
        <v>23609440.762457088</v>
      </c>
      <c r="P73" s="251">
        <f t="shared" si="73"/>
        <v>24237543.948759627</v>
      </c>
      <c r="Q73" s="251">
        <f t="shared" si="73"/>
        <v>24237543.948759627</v>
      </c>
      <c r="R73" s="251">
        <f t="shared" si="73"/>
        <v>24237543.948759627</v>
      </c>
      <c r="S73" s="251">
        <f t="shared" si="73"/>
        <v>24237543.948759627</v>
      </c>
      <c r="T73" s="251">
        <f t="shared" si="73"/>
        <v>24237543.948759627</v>
      </c>
      <c r="U73" s="251">
        <f t="shared" si="73"/>
        <v>24237543.948759627</v>
      </c>
      <c r="V73" s="251">
        <f t="shared" si="73"/>
        <v>24237543.948759627</v>
      </c>
      <c r="W73" s="251">
        <f t="shared" si="73"/>
        <v>24237543.948759627</v>
      </c>
      <c r="X73" s="251">
        <f t="shared" si="73"/>
        <v>24237543.948759627</v>
      </c>
      <c r="Y73" s="251">
        <f t="shared" si="73"/>
        <v>24237543.948759627</v>
      </c>
      <c r="Z73" s="251">
        <f t="shared" si="73"/>
        <v>24237543.948759627</v>
      </c>
      <c r="AA73" s="251">
        <f t="shared" si="73"/>
        <v>24237543.948759627</v>
      </c>
      <c r="AB73" s="251">
        <f t="shared" si="73"/>
        <v>24237543.948759627</v>
      </c>
      <c r="AC73" s="251">
        <f t="shared" si="73"/>
        <v>24237543.948759627</v>
      </c>
      <c r="AD73" s="251">
        <f t="shared" si="73"/>
        <v>24237543.948759627</v>
      </c>
      <c r="AE73" s="251">
        <f t="shared" si="73"/>
        <v>24237543.948759627</v>
      </c>
      <c r="AF73" s="251">
        <f t="shared" si="73"/>
        <v>24237543.948759627</v>
      </c>
      <c r="AG73" s="251">
        <f t="shared" si="73"/>
        <v>24237543.948759627</v>
      </c>
      <c r="AH73" s="251">
        <f t="shared" si="73"/>
        <v>24237543.948759627</v>
      </c>
      <c r="AI73" s="251">
        <f t="shared" si="73"/>
        <v>24237543.948759627</v>
      </c>
      <c r="AJ73" s="251">
        <f t="shared" si="73"/>
        <v>24237543.948759627</v>
      </c>
      <c r="AK73" s="251">
        <f t="shared" si="73"/>
        <v>24237543.948759627</v>
      </c>
      <c r="AL73" s="251">
        <f t="shared" si="73"/>
        <v>24237543.948759627</v>
      </c>
      <c r="AM73" s="251">
        <f t="shared" si="73"/>
        <v>24237543.948759627</v>
      </c>
      <c r="AN73" s="251">
        <f t="shared" si="73"/>
        <v>24237543.948759627</v>
      </c>
    </row>
    <row r="74" spans="1:40" s="3" customFormat="1" ht="14" x14ac:dyDescent="0.3">
      <c r="A74" s="248"/>
      <c r="B74" s="248"/>
      <c r="C74" s="248"/>
      <c r="E74" s="58"/>
      <c r="F74" s="15"/>
      <c r="G74" s="15"/>
      <c r="H74" s="15"/>
      <c r="I74" s="15"/>
      <c r="J74" s="15"/>
      <c r="K74" s="15"/>
      <c r="L74" s="15"/>
      <c r="M74" s="272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</row>
    <row r="75" spans="1:40" s="2" customFormat="1" x14ac:dyDescent="0.35">
      <c r="A75" s="1" t="s">
        <v>9</v>
      </c>
      <c r="B75" s="1"/>
      <c r="C75" s="1"/>
      <c r="D75" s="1"/>
      <c r="E75" s="17">
        <v>8235933</v>
      </c>
      <c r="F75" s="17">
        <v>9569309</v>
      </c>
      <c r="G75" s="17">
        <v>9869394</v>
      </c>
      <c r="H75" s="17">
        <v>9515445</v>
      </c>
      <c r="I75" s="17">
        <v>10618026</v>
      </c>
      <c r="J75" s="17">
        <v>8684693</v>
      </c>
      <c r="K75" s="17">
        <v>10973194</v>
      </c>
      <c r="L75" s="17">
        <f>SUM(L78:L86)</f>
        <v>9330994.7920000013</v>
      </c>
      <c r="M75" s="18">
        <f t="shared" ref="M75" si="74">SUM(M78:M86)</f>
        <v>13980306.9024</v>
      </c>
      <c r="N75" s="17">
        <f t="shared" ref="N75:AN75" si="75">SUM(N78:N86)</f>
        <v>14259913.040448003</v>
      </c>
      <c r="O75" s="17">
        <f t="shared" si="75"/>
        <v>14545111.301256964</v>
      </c>
      <c r="P75" s="17">
        <f t="shared" si="75"/>
        <v>14836013.527282102</v>
      </c>
      <c r="Q75" s="17">
        <f t="shared" si="75"/>
        <v>14836013.527282102</v>
      </c>
      <c r="R75" s="17">
        <f t="shared" si="75"/>
        <v>14836013.527282102</v>
      </c>
      <c r="S75" s="17">
        <f t="shared" si="75"/>
        <v>14836013.527282102</v>
      </c>
      <c r="T75" s="17">
        <f t="shared" si="75"/>
        <v>14836013.527282102</v>
      </c>
      <c r="U75" s="17">
        <f t="shared" si="75"/>
        <v>14836013.527282102</v>
      </c>
      <c r="V75" s="17">
        <f t="shared" si="75"/>
        <v>14836013.527282102</v>
      </c>
      <c r="W75" s="17">
        <f t="shared" si="75"/>
        <v>14836013.527282102</v>
      </c>
      <c r="X75" s="17">
        <f t="shared" si="75"/>
        <v>14836013.527282102</v>
      </c>
      <c r="Y75" s="17">
        <f t="shared" si="75"/>
        <v>14836013.527282102</v>
      </c>
      <c r="Z75" s="17">
        <f t="shared" si="75"/>
        <v>14836013.527282102</v>
      </c>
      <c r="AA75" s="17">
        <f t="shared" si="75"/>
        <v>14836013.527282102</v>
      </c>
      <c r="AB75" s="17">
        <f t="shared" si="75"/>
        <v>14836013.527282102</v>
      </c>
      <c r="AC75" s="17">
        <f t="shared" si="75"/>
        <v>14836013.527282102</v>
      </c>
      <c r="AD75" s="17">
        <f t="shared" si="75"/>
        <v>14836013.527282102</v>
      </c>
      <c r="AE75" s="17">
        <f t="shared" si="75"/>
        <v>14836013.527282102</v>
      </c>
      <c r="AF75" s="17">
        <f t="shared" si="75"/>
        <v>14836013.527282102</v>
      </c>
      <c r="AG75" s="17">
        <f t="shared" si="75"/>
        <v>14836013.527282102</v>
      </c>
      <c r="AH75" s="17">
        <f t="shared" si="75"/>
        <v>14836013.527282102</v>
      </c>
      <c r="AI75" s="17">
        <f t="shared" si="75"/>
        <v>14836013.527282102</v>
      </c>
      <c r="AJ75" s="17">
        <f t="shared" si="75"/>
        <v>14836013.527282102</v>
      </c>
      <c r="AK75" s="17">
        <f t="shared" si="75"/>
        <v>14836013.527282102</v>
      </c>
      <c r="AL75" s="17">
        <f t="shared" si="75"/>
        <v>14836013.527282102</v>
      </c>
      <c r="AM75" s="17">
        <f t="shared" si="75"/>
        <v>14836013.527282102</v>
      </c>
      <c r="AN75" s="17">
        <f t="shared" si="75"/>
        <v>14836013.527282102</v>
      </c>
    </row>
    <row r="76" spans="1:40" x14ac:dyDescent="0.35">
      <c r="A76" s="19" t="s">
        <v>10</v>
      </c>
      <c r="B76" s="19"/>
      <c r="C76" s="20"/>
      <c r="D76" s="1"/>
      <c r="E76" s="21">
        <f t="shared" ref="E76:AN76" si="76">E75/E67</f>
        <v>0.23736511853740397</v>
      </c>
      <c r="F76" s="21">
        <f t="shared" si="76"/>
        <v>0.2484018199174291</v>
      </c>
      <c r="G76" s="21">
        <f t="shared" si="76"/>
        <v>0.25143909313929363</v>
      </c>
      <c r="H76" s="21">
        <f t="shared" si="76"/>
        <v>0.23219079817826471</v>
      </c>
      <c r="I76" s="21">
        <f t="shared" si="76"/>
        <v>0.22720533014096861</v>
      </c>
      <c r="J76" s="21">
        <f t="shared" si="76"/>
        <v>0.18398378224668091</v>
      </c>
      <c r="K76" s="21">
        <f t="shared" si="76"/>
        <v>0.20424177430201215</v>
      </c>
      <c r="L76" s="21">
        <f t="shared" si="76"/>
        <v>0.17080577550327145</v>
      </c>
      <c r="M76" s="265">
        <f t="shared" si="76"/>
        <v>0.18488319147086607</v>
      </c>
      <c r="N76" s="21">
        <f t="shared" si="76"/>
        <v>0.18371655158881184</v>
      </c>
      <c r="O76" s="21">
        <f t="shared" si="76"/>
        <v>0.18482154805275303</v>
      </c>
      <c r="P76" s="21">
        <f t="shared" si="76"/>
        <v>0.18363263487398043</v>
      </c>
      <c r="Q76" s="21">
        <f t="shared" si="76"/>
        <v>0.18363263487398043</v>
      </c>
      <c r="R76" s="21">
        <f t="shared" si="76"/>
        <v>0.18363263487398043</v>
      </c>
      <c r="S76" s="21">
        <f t="shared" si="76"/>
        <v>0.18363263487398043</v>
      </c>
      <c r="T76" s="21">
        <f t="shared" si="76"/>
        <v>0.18363263487398043</v>
      </c>
      <c r="U76" s="21">
        <f t="shared" si="76"/>
        <v>0.18363263487398043</v>
      </c>
      <c r="V76" s="21">
        <f t="shared" si="76"/>
        <v>0.18363263487398043</v>
      </c>
      <c r="W76" s="21">
        <f t="shared" si="76"/>
        <v>0.18363263487398043</v>
      </c>
      <c r="X76" s="21">
        <f t="shared" si="76"/>
        <v>0.18363263487398043</v>
      </c>
      <c r="Y76" s="21">
        <f t="shared" si="76"/>
        <v>0.18363263487398043</v>
      </c>
      <c r="Z76" s="21">
        <f t="shared" si="76"/>
        <v>0.18363263487398043</v>
      </c>
      <c r="AA76" s="21">
        <f t="shared" si="76"/>
        <v>0.18363263487398043</v>
      </c>
      <c r="AB76" s="21">
        <f t="shared" si="76"/>
        <v>0.18363263487398043</v>
      </c>
      <c r="AC76" s="21">
        <f t="shared" si="76"/>
        <v>0.18363263487398043</v>
      </c>
      <c r="AD76" s="21">
        <f t="shared" si="76"/>
        <v>0.18363263487398043</v>
      </c>
      <c r="AE76" s="21">
        <f t="shared" si="76"/>
        <v>0.18363263487398043</v>
      </c>
      <c r="AF76" s="21">
        <f t="shared" si="76"/>
        <v>0.18363263487398043</v>
      </c>
      <c r="AG76" s="21">
        <f t="shared" si="76"/>
        <v>0.18363263487398043</v>
      </c>
      <c r="AH76" s="21">
        <f t="shared" si="76"/>
        <v>0.18363263487398043</v>
      </c>
      <c r="AI76" s="21">
        <f t="shared" si="76"/>
        <v>0.18363263487398043</v>
      </c>
      <c r="AJ76" s="21">
        <f t="shared" si="76"/>
        <v>0.18363263487398043</v>
      </c>
      <c r="AK76" s="21">
        <f t="shared" si="76"/>
        <v>0.18363263487398043</v>
      </c>
      <c r="AL76" s="21">
        <f t="shared" si="76"/>
        <v>0.18363263487398043</v>
      </c>
      <c r="AM76" s="21">
        <f t="shared" si="76"/>
        <v>0.18363263487398043</v>
      </c>
      <c r="AN76" s="21">
        <f t="shared" si="76"/>
        <v>0.18363263487398043</v>
      </c>
    </row>
    <row r="77" spans="1:40" x14ac:dyDescent="0.35">
      <c r="A77" s="19"/>
      <c r="B77" s="19"/>
      <c r="C77" s="20"/>
      <c r="D77" s="1"/>
      <c r="E77" s="21"/>
      <c r="F77" s="21"/>
      <c r="G77" s="21"/>
      <c r="H77" s="21"/>
      <c r="I77" s="21"/>
      <c r="J77" s="22"/>
      <c r="K77" s="21"/>
      <c r="L77" s="1"/>
      <c r="M77" s="266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</row>
    <row r="78" spans="1:40" x14ac:dyDescent="0.35">
      <c r="A78" s="23" t="s">
        <v>11</v>
      </c>
      <c r="B78" s="24"/>
      <c r="C78" s="24"/>
      <c r="D78" s="24"/>
      <c r="E78" s="65">
        <v>64520.94</v>
      </c>
      <c r="F78" s="65">
        <v>67715.38</v>
      </c>
      <c r="G78" s="65">
        <v>67658.850000000006</v>
      </c>
      <c r="H78" s="66">
        <v>69189.039999999994</v>
      </c>
      <c r="I78" s="67">
        <v>67876.55</v>
      </c>
      <c r="J78" s="28">
        <v>56157</v>
      </c>
      <c r="K78" s="28">
        <v>58763</v>
      </c>
      <c r="L78" s="28">
        <f>70504.31/10*12</f>
        <v>84605.171999999991</v>
      </c>
      <c r="M78" s="267">
        <f>L78*1.15</f>
        <v>97295.94779999998</v>
      </c>
      <c r="N78" s="28">
        <f>M78*1.02</f>
        <v>99241.866755999974</v>
      </c>
      <c r="O78" s="28">
        <f>N78*1.02</f>
        <v>101226.70409111997</v>
      </c>
      <c r="P78" s="28">
        <f>O78*1.02</f>
        <v>103251.23817294238</v>
      </c>
      <c r="Q78" s="28">
        <f t="shared" ref="Q78:Q86" si="77">P78</f>
        <v>103251.23817294238</v>
      </c>
      <c r="R78" s="28">
        <f t="shared" ref="R78:AN78" si="78">Q78</f>
        <v>103251.23817294238</v>
      </c>
      <c r="S78" s="28">
        <f t="shared" si="78"/>
        <v>103251.23817294238</v>
      </c>
      <c r="T78" s="28">
        <f t="shared" si="78"/>
        <v>103251.23817294238</v>
      </c>
      <c r="U78" s="28">
        <f t="shared" si="78"/>
        <v>103251.23817294238</v>
      </c>
      <c r="V78" s="28">
        <f t="shared" si="78"/>
        <v>103251.23817294238</v>
      </c>
      <c r="W78" s="28">
        <f t="shared" si="78"/>
        <v>103251.23817294238</v>
      </c>
      <c r="X78" s="28">
        <f t="shared" si="78"/>
        <v>103251.23817294238</v>
      </c>
      <c r="Y78" s="28">
        <f t="shared" si="78"/>
        <v>103251.23817294238</v>
      </c>
      <c r="Z78" s="28">
        <f t="shared" si="78"/>
        <v>103251.23817294238</v>
      </c>
      <c r="AA78" s="28">
        <f t="shared" si="78"/>
        <v>103251.23817294238</v>
      </c>
      <c r="AB78" s="28">
        <f t="shared" si="78"/>
        <v>103251.23817294238</v>
      </c>
      <c r="AC78" s="28">
        <f t="shared" si="78"/>
        <v>103251.23817294238</v>
      </c>
      <c r="AD78" s="28">
        <f t="shared" si="78"/>
        <v>103251.23817294238</v>
      </c>
      <c r="AE78" s="28">
        <f t="shared" si="78"/>
        <v>103251.23817294238</v>
      </c>
      <c r="AF78" s="28">
        <f t="shared" si="78"/>
        <v>103251.23817294238</v>
      </c>
      <c r="AG78" s="28">
        <f t="shared" si="78"/>
        <v>103251.23817294238</v>
      </c>
      <c r="AH78" s="28">
        <f t="shared" si="78"/>
        <v>103251.23817294238</v>
      </c>
      <c r="AI78" s="28">
        <f t="shared" si="78"/>
        <v>103251.23817294238</v>
      </c>
      <c r="AJ78" s="28">
        <f t="shared" si="78"/>
        <v>103251.23817294238</v>
      </c>
      <c r="AK78" s="28">
        <f t="shared" si="78"/>
        <v>103251.23817294238</v>
      </c>
      <c r="AL78" s="28">
        <f t="shared" si="78"/>
        <v>103251.23817294238</v>
      </c>
      <c r="AM78" s="28">
        <f t="shared" si="78"/>
        <v>103251.23817294238</v>
      </c>
      <c r="AN78" s="28">
        <f t="shared" si="78"/>
        <v>103251.23817294238</v>
      </c>
    </row>
    <row r="79" spans="1:40" x14ac:dyDescent="0.35">
      <c r="A79" s="23" t="s">
        <v>12</v>
      </c>
      <c r="B79" s="24"/>
      <c r="C79" s="24"/>
      <c r="D79" s="24"/>
      <c r="E79" s="65">
        <v>2655524.4900000002</v>
      </c>
      <c r="F79" s="65">
        <v>2948897.49</v>
      </c>
      <c r="G79" s="65">
        <v>3216588.86</v>
      </c>
      <c r="H79" s="66">
        <v>3147573.47</v>
      </c>
      <c r="I79" s="67">
        <v>3703783.45</v>
      </c>
      <c r="J79" s="28">
        <v>2878128</v>
      </c>
      <c r="K79" s="28">
        <v>4136885</v>
      </c>
      <c r="L79" s="28">
        <v>2954056</v>
      </c>
      <c r="M79" s="267">
        <v>4008540</v>
      </c>
      <c r="N79" s="28">
        <f t="shared" ref="N79:N86" si="79">M79*1.02</f>
        <v>4088710.8000000003</v>
      </c>
      <c r="O79" s="28">
        <f t="shared" ref="O79:P79" si="80">N79*1.02</f>
        <v>4170485.0160000003</v>
      </c>
      <c r="P79" s="28">
        <f t="shared" si="80"/>
        <v>4253894.7163200006</v>
      </c>
      <c r="Q79" s="28">
        <f t="shared" si="77"/>
        <v>4253894.7163200006</v>
      </c>
      <c r="R79" s="28">
        <f t="shared" ref="R79:AN79" si="81">Q79</f>
        <v>4253894.7163200006</v>
      </c>
      <c r="S79" s="28">
        <f t="shared" si="81"/>
        <v>4253894.7163200006</v>
      </c>
      <c r="T79" s="28">
        <f t="shared" si="81"/>
        <v>4253894.7163200006</v>
      </c>
      <c r="U79" s="28">
        <f t="shared" si="81"/>
        <v>4253894.7163200006</v>
      </c>
      <c r="V79" s="28">
        <f t="shared" si="81"/>
        <v>4253894.7163200006</v>
      </c>
      <c r="W79" s="28">
        <f t="shared" si="81"/>
        <v>4253894.7163200006</v>
      </c>
      <c r="X79" s="28">
        <f t="shared" si="81"/>
        <v>4253894.7163200006</v>
      </c>
      <c r="Y79" s="28">
        <f t="shared" si="81"/>
        <v>4253894.7163200006</v>
      </c>
      <c r="Z79" s="28">
        <f t="shared" si="81"/>
        <v>4253894.7163200006</v>
      </c>
      <c r="AA79" s="28">
        <f t="shared" si="81"/>
        <v>4253894.7163200006</v>
      </c>
      <c r="AB79" s="28">
        <f t="shared" si="81"/>
        <v>4253894.7163200006</v>
      </c>
      <c r="AC79" s="28">
        <f t="shared" si="81"/>
        <v>4253894.7163200006</v>
      </c>
      <c r="AD79" s="28">
        <f t="shared" si="81"/>
        <v>4253894.7163200006</v>
      </c>
      <c r="AE79" s="28">
        <f t="shared" si="81"/>
        <v>4253894.7163200006</v>
      </c>
      <c r="AF79" s="28">
        <f t="shared" si="81"/>
        <v>4253894.7163200006</v>
      </c>
      <c r="AG79" s="28">
        <f t="shared" si="81"/>
        <v>4253894.7163200006</v>
      </c>
      <c r="AH79" s="28">
        <f t="shared" si="81"/>
        <v>4253894.7163200006</v>
      </c>
      <c r="AI79" s="28">
        <f t="shared" si="81"/>
        <v>4253894.7163200006</v>
      </c>
      <c r="AJ79" s="28">
        <f t="shared" si="81"/>
        <v>4253894.7163200006</v>
      </c>
      <c r="AK79" s="28">
        <f t="shared" si="81"/>
        <v>4253894.7163200006</v>
      </c>
      <c r="AL79" s="28">
        <f t="shared" si="81"/>
        <v>4253894.7163200006</v>
      </c>
      <c r="AM79" s="28">
        <f t="shared" si="81"/>
        <v>4253894.7163200006</v>
      </c>
      <c r="AN79" s="28">
        <f t="shared" si="81"/>
        <v>4253894.7163200006</v>
      </c>
    </row>
    <row r="80" spans="1:40" x14ac:dyDescent="0.35">
      <c r="A80" s="23" t="s">
        <v>13</v>
      </c>
      <c r="B80" s="24"/>
      <c r="C80" s="24"/>
      <c r="D80" s="24"/>
      <c r="E80" s="65">
        <v>362649.31</v>
      </c>
      <c r="F80" s="65">
        <v>430067.69</v>
      </c>
      <c r="G80" s="65">
        <v>398340.65</v>
      </c>
      <c r="H80" s="66">
        <v>423434.92</v>
      </c>
      <c r="I80" s="67">
        <v>394885.68</v>
      </c>
      <c r="J80" s="28">
        <v>376905</v>
      </c>
      <c r="K80" s="28">
        <v>523056</v>
      </c>
      <c r="L80" s="28">
        <v>440295</v>
      </c>
      <c r="M80" s="267">
        <v>506340</v>
      </c>
      <c r="N80" s="28">
        <f t="shared" si="79"/>
        <v>516466.8</v>
      </c>
      <c r="O80" s="28">
        <f t="shared" ref="O80:P80" si="82">N80*1.02</f>
        <v>526796.13599999994</v>
      </c>
      <c r="P80" s="28">
        <f t="shared" si="82"/>
        <v>537332.05871999997</v>
      </c>
      <c r="Q80" s="28">
        <f t="shared" si="77"/>
        <v>537332.05871999997</v>
      </c>
      <c r="R80" s="28">
        <f t="shared" ref="R80:AN80" si="83">Q80</f>
        <v>537332.05871999997</v>
      </c>
      <c r="S80" s="28">
        <f t="shared" si="83"/>
        <v>537332.05871999997</v>
      </c>
      <c r="T80" s="28">
        <f t="shared" si="83"/>
        <v>537332.05871999997</v>
      </c>
      <c r="U80" s="28">
        <f t="shared" si="83"/>
        <v>537332.05871999997</v>
      </c>
      <c r="V80" s="28">
        <f t="shared" si="83"/>
        <v>537332.05871999997</v>
      </c>
      <c r="W80" s="28">
        <f t="shared" si="83"/>
        <v>537332.05871999997</v>
      </c>
      <c r="X80" s="28">
        <f t="shared" si="83"/>
        <v>537332.05871999997</v>
      </c>
      <c r="Y80" s="28">
        <f t="shared" si="83"/>
        <v>537332.05871999997</v>
      </c>
      <c r="Z80" s="28">
        <f t="shared" si="83"/>
        <v>537332.05871999997</v>
      </c>
      <c r="AA80" s="28">
        <f t="shared" si="83"/>
        <v>537332.05871999997</v>
      </c>
      <c r="AB80" s="28">
        <f t="shared" si="83"/>
        <v>537332.05871999997</v>
      </c>
      <c r="AC80" s="28">
        <f t="shared" si="83"/>
        <v>537332.05871999997</v>
      </c>
      <c r="AD80" s="28">
        <f t="shared" si="83"/>
        <v>537332.05871999997</v>
      </c>
      <c r="AE80" s="28">
        <f t="shared" si="83"/>
        <v>537332.05871999997</v>
      </c>
      <c r="AF80" s="28">
        <f t="shared" si="83"/>
        <v>537332.05871999997</v>
      </c>
      <c r="AG80" s="28">
        <f t="shared" si="83"/>
        <v>537332.05871999997</v>
      </c>
      <c r="AH80" s="28">
        <f t="shared" si="83"/>
        <v>537332.05871999997</v>
      </c>
      <c r="AI80" s="28">
        <f t="shared" si="83"/>
        <v>537332.05871999997</v>
      </c>
      <c r="AJ80" s="28">
        <f t="shared" si="83"/>
        <v>537332.05871999997</v>
      </c>
      <c r="AK80" s="28">
        <f t="shared" si="83"/>
        <v>537332.05871999997</v>
      </c>
      <c r="AL80" s="28">
        <f t="shared" si="83"/>
        <v>537332.05871999997</v>
      </c>
      <c r="AM80" s="28">
        <f t="shared" si="83"/>
        <v>537332.05871999997</v>
      </c>
      <c r="AN80" s="28">
        <f t="shared" si="83"/>
        <v>537332.05871999997</v>
      </c>
    </row>
    <row r="81" spans="1:40" x14ac:dyDescent="0.35">
      <c r="A81" s="350" t="s">
        <v>14</v>
      </c>
      <c r="B81" s="350"/>
      <c r="C81" s="350"/>
      <c r="D81" s="24"/>
      <c r="E81" s="65">
        <v>4644371.3499999996</v>
      </c>
      <c r="F81" s="65">
        <v>5572957.1399999997</v>
      </c>
      <c r="G81" s="65">
        <v>5749487.8600000003</v>
      </c>
      <c r="H81" s="66">
        <v>5466756.0800000001</v>
      </c>
      <c r="I81" s="67">
        <v>5969608.5899999999</v>
      </c>
      <c r="J81" s="28">
        <v>4844483</v>
      </c>
      <c r="K81" s="28">
        <v>5653484</v>
      </c>
      <c r="L81" s="28">
        <f>K81*0.9</f>
        <v>5088135.6000000006</v>
      </c>
      <c r="M81" s="267">
        <v>8491284</v>
      </c>
      <c r="N81" s="28">
        <f t="shared" si="79"/>
        <v>8661109.6799999997</v>
      </c>
      <c r="O81" s="28">
        <f t="shared" ref="O81:P81" si="84">N81*1.02</f>
        <v>8834331.8736000005</v>
      </c>
      <c r="P81" s="28">
        <f t="shared" si="84"/>
        <v>9011018.5110720005</v>
      </c>
      <c r="Q81" s="28">
        <f t="shared" si="77"/>
        <v>9011018.5110720005</v>
      </c>
      <c r="R81" s="28">
        <f t="shared" ref="R81:AN81" si="85">Q81</f>
        <v>9011018.5110720005</v>
      </c>
      <c r="S81" s="28">
        <f t="shared" si="85"/>
        <v>9011018.5110720005</v>
      </c>
      <c r="T81" s="28">
        <f t="shared" si="85"/>
        <v>9011018.5110720005</v>
      </c>
      <c r="U81" s="28">
        <f t="shared" si="85"/>
        <v>9011018.5110720005</v>
      </c>
      <c r="V81" s="28">
        <f t="shared" si="85"/>
        <v>9011018.5110720005</v>
      </c>
      <c r="W81" s="28">
        <f t="shared" si="85"/>
        <v>9011018.5110720005</v>
      </c>
      <c r="X81" s="28">
        <f t="shared" si="85"/>
        <v>9011018.5110720005</v>
      </c>
      <c r="Y81" s="28">
        <f t="shared" si="85"/>
        <v>9011018.5110720005</v>
      </c>
      <c r="Z81" s="28">
        <f t="shared" si="85"/>
        <v>9011018.5110720005</v>
      </c>
      <c r="AA81" s="28">
        <f t="shared" si="85"/>
        <v>9011018.5110720005</v>
      </c>
      <c r="AB81" s="28">
        <f t="shared" si="85"/>
        <v>9011018.5110720005</v>
      </c>
      <c r="AC81" s="28">
        <f t="shared" si="85"/>
        <v>9011018.5110720005</v>
      </c>
      <c r="AD81" s="28">
        <f t="shared" si="85"/>
        <v>9011018.5110720005</v>
      </c>
      <c r="AE81" s="28">
        <f t="shared" si="85"/>
        <v>9011018.5110720005</v>
      </c>
      <c r="AF81" s="28">
        <f t="shared" si="85"/>
        <v>9011018.5110720005</v>
      </c>
      <c r="AG81" s="28">
        <f t="shared" si="85"/>
        <v>9011018.5110720005</v>
      </c>
      <c r="AH81" s="28">
        <f t="shared" si="85"/>
        <v>9011018.5110720005</v>
      </c>
      <c r="AI81" s="28">
        <f t="shared" si="85"/>
        <v>9011018.5110720005</v>
      </c>
      <c r="AJ81" s="28">
        <f t="shared" si="85"/>
        <v>9011018.5110720005</v>
      </c>
      <c r="AK81" s="28">
        <f t="shared" si="85"/>
        <v>9011018.5110720005</v>
      </c>
      <c r="AL81" s="28">
        <f t="shared" si="85"/>
        <v>9011018.5110720005</v>
      </c>
      <c r="AM81" s="28">
        <f t="shared" si="85"/>
        <v>9011018.5110720005</v>
      </c>
      <c r="AN81" s="28">
        <f t="shared" si="85"/>
        <v>9011018.5110720005</v>
      </c>
    </row>
    <row r="82" spans="1:40" x14ac:dyDescent="0.35">
      <c r="A82" s="23" t="s">
        <v>15</v>
      </c>
      <c r="B82" s="24"/>
      <c r="C82" s="24"/>
      <c r="D82" s="24"/>
      <c r="E82" s="65">
        <v>3607.07</v>
      </c>
      <c r="F82" s="65">
        <v>3421.5</v>
      </c>
      <c r="G82" s="65">
        <v>4429.8900000000003</v>
      </c>
      <c r="H82" s="66">
        <v>4899.04</v>
      </c>
      <c r="I82" s="67">
        <v>17958.849999999999</v>
      </c>
      <c r="J82" s="28">
        <v>7979</v>
      </c>
      <c r="K82" s="28">
        <v>13265</v>
      </c>
      <c r="L82" s="28">
        <f>4641.68/10*12</f>
        <v>5570.0159999999996</v>
      </c>
      <c r="M82" s="267">
        <v>4764</v>
      </c>
      <c r="N82" s="28">
        <f t="shared" si="79"/>
        <v>4859.28</v>
      </c>
      <c r="O82" s="28">
        <f t="shared" ref="O82:P82" si="86">N82*1.02</f>
        <v>4956.4655999999995</v>
      </c>
      <c r="P82" s="28">
        <f t="shared" si="86"/>
        <v>5055.5949119999996</v>
      </c>
      <c r="Q82" s="28">
        <f t="shared" si="77"/>
        <v>5055.5949119999996</v>
      </c>
      <c r="R82" s="28">
        <f t="shared" ref="R82:AN82" si="87">Q82</f>
        <v>5055.5949119999996</v>
      </c>
      <c r="S82" s="28">
        <f t="shared" si="87"/>
        <v>5055.5949119999996</v>
      </c>
      <c r="T82" s="28">
        <f t="shared" si="87"/>
        <v>5055.5949119999996</v>
      </c>
      <c r="U82" s="28">
        <f t="shared" si="87"/>
        <v>5055.5949119999996</v>
      </c>
      <c r="V82" s="28">
        <f t="shared" si="87"/>
        <v>5055.5949119999996</v>
      </c>
      <c r="W82" s="28">
        <f t="shared" si="87"/>
        <v>5055.5949119999996</v>
      </c>
      <c r="X82" s="28">
        <f t="shared" si="87"/>
        <v>5055.5949119999996</v>
      </c>
      <c r="Y82" s="28">
        <f t="shared" si="87"/>
        <v>5055.5949119999996</v>
      </c>
      <c r="Z82" s="28">
        <f t="shared" si="87"/>
        <v>5055.5949119999996</v>
      </c>
      <c r="AA82" s="28">
        <f t="shared" si="87"/>
        <v>5055.5949119999996</v>
      </c>
      <c r="AB82" s="28">
        <f t="shared" si="87"/>
        <v>5055.5949119999996</v>
      </c>
      <c r="AC82" s="28">
        <f t="shared" si="87"/>
        <v>5055.5949119999996</v>
      </c>
      <c r="AD82" s="28">
        <f t="shared" si="87"/>
        <v>5055.5949119999996</v>
      </c>
      <c r="AE82" s="28">
        <f t="shared" si="87"/>
        <v>5055.5949119999996</v>
      </c>
      <c r="AF82" s="28">
        <f t="shared" si="87"/>
        <v>5055.5949119999996</v>
      </c>
      <c r="AG82" s="28">
        <f t="shared" si="87"/>
        <v>5055.5949119999996</v>
      </c>
      <c r="AH82" s="28">
        <f t="shared" si="87"/>
        <v>5055.5949119999996</v>
      </c>
      <c r="AI82" s="28">
        <f t="shared" si="87"/>
        <v>5055.5949119999996</v>
      </c>
      <c r="AJ82" s="28">
        <f t="shared" si="87"/>
        <v>5055.5949119999996</v>
      </c>
      <c r="AK82" s="28">
        <f t="shared" si="87"/>
        <v>5055.5949119999996</v>
      </c>
      <c r="AL82" s="28">
        <f t="shared" si="87"/>
        <v>5055.5949119999996</v>
      </c>
      <c r="AM82" s="28">
        <f t="shared" si="87"/>
        <v>5055.5949119999996</v>
      </c>
      <c r="AN82" s="28">
        <f t="shared" si="87"/>
        <v>5055.5949119999996</v>
      </c>
    </row>
    <row r="83" spans="1:40" x14ac:dyDescent="0.35">
      <c r="A83" s="23" t="s">
        <v>16</v>
      </c>
      <c r="B83" s="24"/>
      <c r="C83" s="24"/>
      <c r="D83" s="24"/>
      <c r="E83" s="65">
        <v>152556.35999999999</v>
      </c>
      <c r="F83" s="65">
        <v>152108.82999999999</v>
      </c>
      <c r="G83" s="65">
        <v>162584.51</v>
      </c>
      <c r="H83" s="66">
        <v>143968</v>
      </c>
      <c r="I83" s="67">
        <v>144980.51</v>
      </c>
      <c r="J83" s="28">
        <v>140870</v>
      </c>
      <c r="K83" s="28">
        <v>150274</v>
      </c>
      <c r="L83" s="28">
        <f>145562.52/10*12</f>
        <v>174675.02399999998</v>
      </c>
      <c r="M83" s="267">
        <f>L83*1.15</f>
        <v>200876.27759999994</v>
      </c>
      <c r="N83" s="28">
        <f t="shared" si="79"/>
        <v>204893.80315199995</v>
      </c>
      <c r="O83" s="28">
        <f t="shared" ref="O83:P83" si="88">N83*1.02</f>
        <v>208991.67921503994</v>
      </c>
      <c r="P83" s="28">
        <f t="shared" si="88"/>
        <v>213171.51279934074</v>
      </c>
      <c r="Q83" s="28">
        <f t="shared" si="77"/>
        <v>213171.51279934074</v>
      </c>
      <c r="R83" s="28">
        <f t="shared" ref="R83:AN83" si="89">Q83</f>
        <v>213171.51279934074</v>
      </c>
      <c r="S83" s="28">
        <f t="shared" si="89"/>
        <v>213171.51279934074</v>
      </c>
      <c r="T83" s="28">
        <f t="shared" si="89"/>
        <v>213171.51279934074</v>
      </c>
      <c r="U83" s="28">
        <f t="shared" si="89"/>
        <v>213171.51279934074</v>
      </c>
      <c r="V83" s="28">
        <f t="shared" si="89"/>
        <v>213171.51279934074</v>
      </c>
      <c r="W83" s="28">
        <f t="shared" si="89"/>
        <v>213171.51279934074</v>
      </c>
      <c r="X83" s="28">
        <f t="shared" si="89"/>
        <v>213171.51279934074</v>
      </c>
      <c r="Y83" s="28">
        <f t="shared" si="89"/>
        <v>213171.51279934074</v>
      </c>
      <c r="Z83" s="28">
        <f t="shared" si="89"/>
        <v>213171.51279934074</v>
      </c>
      <c r="AA83" s="28">
        <f t="shared" si="89"/>
        <v>213171.51279934074</v>
      </c>
      <c r="AB83" s="28">
        <f t="shared" si="89"/>
        <v>213171.51279934074</v>
      </c>
      <c r="AC83" s="28">
        <f t="shared" si="89"/>
        <v>213171.51279934074</v>
      </c>
      <c r="AD83" s="28">
        <f t="shared" si="89"/>
        <v>213171.51279934074</v>
      </c>
      <c r="AE83" s="28">
        <f t="shared" si="89"/>
        <v>213171.51279934074</v>
      </c>
      <c r="AF83" s="28">
        <f t="shared" si="89"/>
        <v>213171.51279934074</v>
      </c>
      <c r="AG83" s="28">
        <f t="shared" si="89"/>
        <v>213171.51279934074</v>
      </c>
      <c r="AH83" s="28">
        <f t="shared" si="89"/>
        <v>213171.51279934074</v>
      </c>
      <c r="AI83" s="28">
        <f t="shared" si="89"/>
        <v>213171.51279934074</v>
      </c>
      <c r="AJ83" s="28">
        <f t="shared" si="89"/>
        <v>213171.51279934074</v>
      </c>
      <c r="AK83" s="28">
        <f t="shared" si="89"/>
        <v>213171.51279934074</v>
      </c>
      <c r="AL83" s="28">
        <f t="shared" si="89"/>
        <v>213171.51279934074</v>
      </c>
      <c r="AM83" s="28">
        <f t="shared" si="89"/>
        <v>213171.51279934074</v>
      </c>
      <c r="AN83" s="28">
        <f t="shared" si="89"/>
        <v>213171.51279934074</v>
      </c>
    </row>
    <row r="84" spans="1:40" x14ac:dyDescent="0.35">
      <c r="A84" s="23" t="s">
        <v>17</v>
      </c>
      <c r="B84" s="24"/>
      <c r="C84" s="24"/>
      <c r="D84" s="24"/>
      <c r="E84" s="65">
        <v>62990.05</v>
      </c>
      <c r="F84" s="65">
        <v>60433.93</v>
      </c>
      <c r="G84" s="65">
        <v>72894.080000000002</v>
      </c>
      <c r="H84" s="65">
        <v>70612.639999999999</v>
      </c>
      <c r="I84" s="67">
        <v>77051.22</v>
      </c>
      <c r="J84" s="28">
        <v>107548</v>
      </c>
      <c r="K84" s="28">
        <v>100323</v>
      </c>
      <c r="L84" s="28">
        <f>173186.7/10*12</f>
        <v>207824.04000000004</v>
      </c>
      <c r="M84" s="267">
        <f>L84*1.15</f>
        <v>238997.64600000004</v>
      </c>
      <c r="N84" s="28">
        <f t="shared" si="79"/>
        <v>243777.59892000005</v>
      </c>
      <c r="O84" s="28">
        <f t="shared" ref="O84:P84" si="90">N84*1.02</f>
        <v>248653.15089840005</v>
      </c>
      <c r="P84" s="28">
        <f t="shared" si="90"/>
        <v>253626.21391636805</v>
      </c>
      <c r="Q84" s="28">
        <f t="shared" si="77"/>
        <v>253626.21391636805</v>
      </c>
      <c r="R84" s="28">
        <f t="shared" ref="R84:AN84" si="91">Q84</f>
        <v>253626.21391636805</v>
      </c>
      <c r="S84" s="28">
        <f t="shared" si="91"/>
        <v>253626.21391636805</v>
      </c>
      <c r="T84" s="28">
        <f t="shared" si="91"/>
        <v>253626.21391636805</v>
      </c>
      <c r="U84" s="28">
        <f t="shared" si="91"/>
        <v>253626.21391636805</v>
      </c>
      <c r="V84" s="28">
        <f t="shared" si="91"/>
        <v>253626.21391636805</v>
      </c>
      <c r="W84" s="28">
        <f t="shared" si="91"/>
        <v>253626.21391636805</v>
      </c>
      <c r="X84" s="28">
        <f t="shared" si="91"/>
        <v>253626.21391636805</v>
      </c>
      <c r="Y84" s="28">
        <f t="shared" si="91"/>
        <v>253626.21391636805</v>
      </c>
      <c r="Z84" s="28">
        <f t="shared" si="91"/>
        <v>253626.21391636805</v>
      </c>
      <c r="AA84" s="28">
        <f t="shared" si="91"/>
        <v>253626.21391636805</v>
      </c>
      <c r="AB84" s="28">
        <f t="shared" si="91"/>
        <v>253626.21391636805</v>
      </c>
      <c r="AC84" s="28">
        <f t="shared" si="91"/>
        <v>253626.21391636805</v>
      </c>
      <c r="AD84" s="28">
        <f t="shared" si="91"/>
        <v>253626.21391636805</v>
      </c>
      <c r="AE84" s="28">
        <f t="shared" si="91"/>
        <v>253626.21391636805</v>
      </c>
      <c r="AF84" s="28">
        <f t="shared" si="91"/>
        <v>253626.21391636805</v>
      </c>
      <c r="AG84" s="28">
        <f t="shared" si="91"/>
        <v>253626.21391636805</v>
      </c>
      <c r="AH84" s="28">
        <f t="shared" si="91"/>
        <v>253626.21391636805</v>
      </c>
      <c r="AI84" s="28">
        <f t="shared" si="91"/>
        <v>253626.21391636805</v>
      </c>
      <c r="AJ84" s="28">
        <f t="shared" si="91"/>
        <v>253626.21391636805</v>
      </c>
      <c r="AK84" s="28">
        <f t="shared" si="91"/>
        <v>253626.21391636805</v>
      </c>
      <c r="AL84" s="28">
        <f t="shared" si="91"/>
        <v>253626.21391636805</v>
      </c>
      <c r="AM84" s="28">
        <f t="shared" si="91"/>
        <v>253626.21391636805</v>
      </c>
      <c r="AN84" s="28">
        <f t="shared" si="91"/>
        <v>253626.21391636805</v>
      </c>
    </row>
    <row r="85" spans="1:40" x14ac:dyDescent="0.35">
      <c r="A85" s="23" t="s">
        <v>18</v>
      </c>
      <c r="B85" s="24"/>
      <c r="C85" s="24"/>
      <c r="D85" s="24"/>
      <c r="E85" s="65">
        <v>123562.65000000001</v>
      </c>
      <c r="F85" s="65">
        <v>120421.26</v>
      </c>
      <c r="G85" s="65">
        <v>115028.27</v>
      </c>
      <c r="H85" s="66">
        <v>110370.16</v>
      </c>
      <c r="I85" s="67">
        <v>119826.68</v>
      </c>
      <c r="J85" s="28">
        <v>87007</v>
      </c>
      <c r="K85" s="28">
        <v>132462</v>
      </c>
      <c r="L85" s="28">
        <f>113893.01/10*12</f>
        <v>136671.61199999999</v>
      </c>
      <c r="M85" s="267">
        <f>L85*1.15</f>
        <v>157172.35379999998</v>
      </c>
      <c r="N85" s="28">
        <f t="shared" si="79"/>
        <v>160315.80087599999</v>
      </c>
      <c r="O85" s="28">
        <f t="shared" ref="O85:P85" si="92">N85*1.02</f>
        <v>163522.11689352</v>
      </c>
      <c r="P85" s="28">
        <f t="shared" si="92"/>
        <v>166792.55923139039</v>
      </c>
      <c r="Q85" s="28">
        <f t="shared" si="77"/>
        <v>166792.55923139039</v>
      </c>
      <c r="R85" s="28">
        <f t="shared" ref="R85:AN85" si="93">Q85</f>
        <v>166792.55923139039</v>
      </c>
      <c r="S85" s="28">
        <f t="shared" si="93"/>
        <v>166792.55923139039</v>
      </c>
      <c r="T85" s="28">
        <f t="shared" si="93"/>
        <v>166792.55923139039</v>
      </c>
      <c r="U85" s="28">
        <f t="shared" si="93"/>
        <v>166792.55923139039</v>
      </c>
      <c r="V85" s="28">
        <f t="shared" si="93"/>
        <v>166792.55923139039</v>
      </c>
      <c r="W85" s="28">
        <f t="shared" si="93"/>
        <v>166792.55923139039</v>
      </c>
      <c r="X85" s="28">
        <f t="shared" si="93"/>
        <v>166792.55923139039</v>
      </c>
      <c r="Y85" s="28">
        <f t="shared" si="93"/>
        <v>166792.55923139039</v>
      </c>
      <c r="Z85" s="28">
        <f t="shared" si="93"/>
        <v>166792.55923139039</v>
      </c>
      <c r="AA85" s="28">
        <f t="shared" si="93"/>
        <v>166792.55923139039</v>
      </c>
      <c r="AB85" s="28">
        <f t="shared" si="93"/>
        <v>166792.55923139039</v>
      </c>
      <c r="AC85" s="28">
        <f t="shared" si="93"/>
        <v>166792.55923139039</v>
      </c>
      <c r="AD85" s="28">
        <f t="shared" si="93"/>
        <v>166792.55923139039</v>
      </c>
      <c r="AE85" s="28">
        <f t="shared" si="93"/>
        <v>166792.55923139039</v>
      </c>
      <c r="AF85" s="28">
        <f t="shared" si="93"/>
        <v>166792.55923139039</v>
      </c>
      <c r="AG85" s="28">
        <f t="shared" si="93"/>
        <v>166792.55923139039</v>
      </c>
      <c r="AH85" s="28">
        <f t="shared" si="93"/>
        <v>166792.55923139039</v>
      </c>
      <c r="AI85" s="28">
        <f t="shared" si="93"/>
        <v>166792.55923139039</v>
      </c>
      <c r="AJ85" s="28">
        <f t="shared" si="93"/>
        <v>166792.55923139039</v>
      </c>
      <c r="AK85" s="28">
        <f t="shared" si="93"/>
        <v>166792.55923139039</v>
      </c>
      <c r="AL85" s="28">
        <f t="shared" si="93"/>
        <v>166792.55923139039</v>
      </c>
      <c r="AM85" s="28">
        <f t="shared" si="93"/>
        <v>166792.55923139039</v>
      </c>
      <c r="AN85" s="28">
        <f t="shared" si="93"/>
        <v>166792.55923139039</v>
      </c>
    </row>
    <row r="86" spans="1:40" x14ac:dyDescent="0.35">
      <c r="A86" s="23" t="s">
        <v>19</v>
      </c>
      <c r="B86" s="24"/>
      <c r="C86" s="24"/>
      <c r="D86" s="24"/>
      <c r="E86" s="65">
        <v>229140.94</v>
      </c>
      <c r="F86" s="65">
        <v>273719.82</v>
      </c>
      <c r="G86" s="65">
        <v>155274.93</v>
      </c>
      <c r="H86" s="69">
        <v>149254.18</v>
      </c>
      <c r="I86" s="67">
        <v>199105.71</v>
      </c>
      <c r="J86" s="28">
        <v>185618</v>
      </c>
      <c r="K86" s="28">
        <v>204682</v>
      </c>
      <c r="L86" s="28">
        <f>199301.94/10*12</f>
        <v>239162.32799999998</v>
      </c>
      <c r="M86" s="267">
        <f>L86*1.15</f>
        <v>275036.67719999998</v>
      </c>
      <c r="N86" s="28">
        <f t="shared" si="79"/>
        <v>280537.41074399999</v>
      </c>
      <c r="O86" s="28">
        <f t="shared" ref="O86:P86" si="94">N86*1.02</f>
        <v>286148.15895888</v>
      </c>
      <c r="P86" s="28">
        <f t="shared" si="94"/>
        <v>291871.1221380576</v>
      </c>
      <c r="Q86" s="28">
        <f t="shared" si="77"/>
        <v>291871.1221380576</v>
      </c>
      <c r="R86" s="28">
        <f t="shared" ref="R86:AN86" si="95">Q86</f>
        <v>291871.1221380576</v>
      </c>
      <c r="S86" s="28">
        <f t="shared" si="95"/>
        <v>291871.1221380576</v>
      </c>
      <c r="T86" s="28">
        <f t="shared" si="95"/>
        <v>291871.1221380576</v>
      </c>
      <c r="U86" s="28">
        <f t="shared" si="95"/>
        <v>291871.1221380576</v>
      </c>
      <c r="V86" s="28">
        <f t="shared" si="95"/>
        <v>291871.1221380576</v>
      </c>
      <c r="W86" s="28">
        <f t="shared" si="95"/>
        <v>291871.1221380576</v>
      </c>
      <c r="X86" s="28">
        <f t="shared" si="95"/>
        <v>291871.1221380576</v>
      </c>
      <c r="Y86" s="28">
        <f t="shared" si="95"/>
        <v>291871.1221380576</v>
      </c>
      <c r="Z86" s="28">
        <f t="shared" si="95"/>
        <v>291871.1221380576</v>
      </c>
      <c r="AA86" s="28">
        <f t="shared" si="95"/>
        <v>291871.1221380576</v>
      </c>
      <c r="AB86" s="28">
        <f t="shared" si="95"/>
        <v>291871.1221380576</v>
      </c>
      <c r="AC86" s="28">
        <f t="shared" si="95"/>
        <v>291871.1221380576</v>
      </c>
      <c r="AD86" s="28">
        <f t="shared" si="95"/>
        <v>291871.1221380576</v>
      </c>
      <c r="AE86" s="28">
        <f t="shared" si="95"/>
        <v>291871.1221380576</v>
      </c>
      <c r="AF86" s="28">
        <f t="shared" si="95"/>
        <v>291871.1221380576</v>
      </c>
      <c r="AG86" s="28">
        <f t="shared" si="95"/>
        <v>291871.1221380576</v>
      </c>
      <c r="AH86" s="28">
        <f t="shared" si="95"/>
        <v>291871.1221380576</v>
      </c>
      <c r="AI86" s="28">
        <f t="shared" si="95"/>
        <v>291871.1221380576</v>
      </c>
      <c r="AJ86" s="28">
        <f t="shared" si="95"/>
        <v>291871.1221380576</v>
      </c>
      <c r="AK86" s="28">
        <f t="shared" si="95"/>
        <v>291871.1221380576</v>
      </c>
      <c r="AL86" s="28">
        <f t="shared" si="95"/>
        <v>291871.1221380576</v>
      </c>
      <c r="AM86" s="28">
        <f t="shared" si="95"/>
        <v>291871.1221380576</v>
      </c>
      <c r="AN86" s="28">
        <f t="shared" si="95"/>
        <v>291871.1221380576</v>
      </c>
    </row>
    <row r="87" spans="1:40" x14ac:dyDescent="0.35">
      <c r="A87" s="23"/>
      <c r="B87" s="24"/>
      <c r="C87" s="1"/>
      <c r="D87" s="1"/>
      <c r="E87" s="30"/>
      <c r="F87" s="30"/>
      <c r="G87" s="30"/>
      <c r="H87" s="31"/>
      <c r="I87" s="32"/>
      <c r="J87" s="17"/>
      <c r="K87" s="17"/>
      <c r="L87" s="17"/>
      <c r="M87" s="18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</row>
    <row r="88" spans="1:40" x14ac:dyDescent="0.35">
      <c r="A88" s="1" t="s">
        <v>20</v>
      </c>
      <c r="B88" s="1"/>
      <c r="C88" s="1"/>
      <c r="D88" s="1"/>
      <c r="E88" s="17">
        <v>894342</v>
      </c>
      <c r="F88" s="17">
        <v>826176</v>
      </c>
      <c r="G88" s="17">
        <v>789479</v>
      </c>
      <c r="H88" s="17">
        <v>829632</v>
      </c>
      <c r="I88" s="17">
        <v>990433</v>
      </c>
      <c r="J88" s="17">
        <v>908070</v>
      </c>
      <c r="K88" s="17">
        <v>938139</v>
      </c>
      <c r="L88" s="17">
        <v>2479749</v>
      </c>
      <c r="M88" s="18">
        <v>3550913</v>
      </c>
      <c r="N88" s="17">
        <f>M88*1.02</f>
        <v>3621931.2600000002</v>
      </c>
      <c r="O88" s="17">
        <f>N88*0.75</f>
        <v>2716448.4450000003</v>
      </c>
      <c r="P88" s="17">
        <f t="shared" ref="P88" si="96">O88*1.02</f>
        <v>2770777.4139000005</v>
      </c>
      <c r="Q88" s="17">
        <f>P88</f>
        <v>2770777.4139000005</v>
      </c>
      <c r="R88" s="17">
        <f t="shared" ref="R88:AN88" si="97">Q88</f>
        <v>2770777.4139000005</v>
      </c>
      <c r="S88" s="17">
        <f t="shared" si="97"/>
        <v>2770777.4139000005</v>
      </c>
      <c r="T88" s="17">
        <f t="shared" si="97"/>
        <v>2770777.4139000005</v>
      </c>
      <c r="U88" s="17">
        <f t="shared" si="97"/>
        <v>2770777.4139000005</v>
      </c>
      <c r="V88" s="17">
        <f t="shared" si="97"/>
        <v>2770777.4139000005</v>
      </c>
      <c r="W88" s="17">
        <f t="shared" si="97"/>
        <v>2770777.4139000005</v>
      </c>
      <c r="X88" s="17">
        <f t="shared" si="97"/>
        <v>2770777.4139000005</v>
      </c>
      <c r="Y88" s="17">
        <f t="shared" si="97"/>
        <v>2770777.4139000005</v>
      </c>
      <c r="Z88" s="17">
        <f t="shared" si="97"/>
        <v>2770777.4139000005</v>
      </c>
      <c r="AA88" s="17">
        <f t="shared" si="97"/>
        <v>2770777.4139000005</v>
      </c>
      <c r="AB88" s="17">
        <f t="shared" si="97"/>
        <v>2770777.4139000005</v>
      </c>
      <c r="AC88" s="17">
        <f t="shared" si="97"/>
        <v>2770777.4139000005</v>
      </c>
      <c r="AD88" s="17">
        <f t="shared" si="97"/>
        <v>2770777.4139000005</v>
      </c>
      <c r="AE88" s="17">
        <f t="shared" si="97"/>
        <v>2770777.4139000005</v>
      </c>
      <c r="AF88" s="17">
        <f t="shared" si="97"/>
        <v>2770777.4139000005</v>
      </c>
      <c r="AG88" s="17">
        <f t="shared" si="97"/>
        <v>2770777.4139000005</v>
      </c>
      <c r="AH88" s="17">
        <f t="shared" si="97"/>
        <v>2770777.4139000005</v>
      </c>
      <c r="AI88" s="17">
        <f t="shared" si="97"/>
        <v>2770777.4139000005</v>
      </c>
      <c r="AJ88" s="17">
        <f t="shared" si="97"/>
        <v>2770777.4139000005</v>
      </c>
      <c r="AK88" s="17">
        <f t="shared" si="97"/>
        <v>2770777.4139000005</v>
      </c>
      <c r="AL88" s="17">
        <f t="shared" si="97"/>
        <v>2770777.4139000005</v>
      </c>
      <c r="AM88" s="17">
        <f t="shared" si="97"/>
        <v>2770777.4139000005</v>
      </c>
      <c r="AN88" s="17">
        <f t="shared" si="97"/>
        <v>2770777.4139000005</v>
      </c>
    </row>
    <row r="89" spans="1:40" x14ac:dyDescent="0.35">
      <c r="A89" s="19" t="s">
        <v>21</v>
      </c>
      <c r="B89" s="19"/>
      <c r="C89" s="19"/>
      <c r="D89" s="1"/>
      <c r="E89" s="21">
        <f t="shared" ref="E89:AN89" si="98">E88/E67</f>
        <v>2.5775536887317919E-2</v>
      </c>
      <c r="F89" s="21">
        <f t="shared" si="98"/>
        <v>2.1446023111188272E-2</v>
      </c>
      <c r="G89" s="21">
        <f t="shared" si="98"/>
        <v>2.0113279884511288E-2</v>
      </c>
      <c r="H89" s="21">
        <f t="shared" si="98"/>
        <v>2.0244236215356204E-2</v>
      </c>
      <c r="I89" s="21">
        <f t="shared" si="98"/>
        <v>2.1193360870232374E-2</v>
      </c>
      <c r="J89" s="21">
        <f t="shared" si="98"/>
        <v>1.9237312492766702E-2</v>
      </c>
      <c r="K89" s="21">
        <f t="shared" si="98"/>
        <v>1.7461385800881253E-2</v>
      </c>
      <c r="L89" s="21">
        <f t="shared" si="98"/>
        <v>4.5392314585964655E-2</v>
      </c>
      <c r="M89" s="265">
        <f t="shared" si="98"/>
        <v>4.6959207166094856E-2</v>
      </c>
      <c r="N89" s="21">
        <f t="shared" si="98"/>
        <v>4.6662887725296767E-2</v>
      </c>
      <c r="O89" s="21">
        <f t="shared" si="98"/>
        <v>3.4517316259175465E-2</v>
      </c>
      <c r="P89" s="21">
        <f t="shared" si="98"/>
        <v>3.4295274551221146E-2</v>
      </c>
      <c r="Q89" s="21">
        <f t="shared" si="98"/>
        <v>3.4295274551221146E-2</v>
      </c>
      <c r="R89" s="21">
        <f t="shared" si="98"/>
        <v>3.4295274551221146E-2</v>
      </c>
      <c r="S89" s="21">
        <f t="shared" si="98"/>
        <v>3.4295274551221146E-2</v>
      </c>
      <c r="T89" s="21">
        <f t="shared" si="98"/>
        <v>3.4295274551221146E-2</v>
      </c>
      <c r="U89" s="21">
        <f t="shared" si="98"/>
        <v>3.4295274551221146E-2</v>
      </c>
      <c r="V89" s="21">
        <f t="shared" si="98"/>
        <v>3.4295274551221146E-2</v>
      </c>
      <c r="W89" s="21">
        <f t="shared" si="98"/>
        <v>3.4295274551221146E-2</v>
      </c>
      <c r="X89" s="21">
        <f t="shared" si="98"/>
        <v>3.4295274551221146E-2</v>
      </c>
      <c r="Y89" s="21">
        <f t="shared" si="98"/>
        <v>3.4295274551221146E-2</v>
      </c>
      <c r="Z89" s="21">
        <f t="shared" si="98"/>
        <v>3.4295274551221146E-2</v>
      </c>
      <c r="AA89" s="21">
        <f t="shared" si="98"/>
        <v>3.4295274551221146E-2</v>
      </c>
      <c r="AB89" s="21">
        <f t="shared" si="98"/>
        <v>3.4295274551221146E-2</v>
      </c>
      <c r="AC89" s="21">
        <f t="shared" si="98"/>
        <v>3.4295274551221146E-2</v>
      </c>
      <c r="AD89" s="21">
        <f t="shared" si="98"/>
        <v>3.4295274551221146E-2</v>
      </c>
      <c r="AE89" s="21">
        <f t="shared" si="98"/>
        <v>3.4295274551221146E-2</v>
      </c>
      <c r="AF89" s="21">
        <f t="shared" si="98"/>
        <v>3.4295274551221146E-2</v>
      </c>
      <c r="AG89" s="21">
        <f t="shared" si="98"/>
        <v>3.4295274551221146E-2</v>
      </c>
      <c r="AH89" s="21">
        <f t="shared" si="98"/>
        <v>3.4295274551221146E-2</v>
      </c>
      <c r="AI89" s="21">
        <f t="shared" si="98"/>
        <v>3.4295274551221146E-2</v>
      </c>
      <c r="AJ89" s="21">
        <f t="shared" si="98"/>
        <v>3.4295274551221146E-2</v>
      </c>
      <c r="AK89" s="21">
        <f t="shared" si="98"/>
        <v>3.4295274551221146E-2</v>
      </c>
      <c r="AL89" s="21">
        <f t="shared" si="98"/>
        <v>3.4295274551221146E-2</v>
      </c>
      <c r="AM89" s="21">
        <f t="shared" si="98"/>
        <v>3.4295274551221146E-2</v>
      </c>
      <c r="AN89" s="21">
        <f t="shared" si="98"/>
        <v>3.4295274551221146E-2</v>
      </c>
    </row>
    <row r="90" spans="1:40" x14ac:dyDescent="0.35">
      <c r="A90" s="1"/>
      <c r="B90" s="1"/>
      <c r="C90" s="1"/>
      <c r="D90" s="1"/>
      <c r="E90" s="17"/>
      <c r="F90" s="17"/>
      <c r="G90" s="17"/>
      <c r="H90" s="17"/>
      <c r="I90" s="17"/>
      <c r="J90" s="17"/>
      <c r="K90" s="17"/>
      <c r="L90" s="17"/>
      <c r="M90" s="18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</row>
    <row r="91" spans="1:40" x14ac:dyDescent="0.35">
      <c r="A91" s="1" t="s">
        <v>22</v>
      </c>
      <c r="B91" s="1"/>
      <c r="C91" s="1"/>
      <c r="D91" s="1"/>
      <c r="E91" s="17">
        <v>19781518</v>
      </c>
      <c r="F91" s="17">
        <v>21640696</v>
      </c>
      <c r="G91" s="17">
        <v>22437470</v>
      </c>
      <c r="H91" s="17">
        <v>24024092</v>
      </c>
      <c r="I91" s="17">
        <v>28033807</v>
      </c>
      <c r="J91" s="17">
        <v>31130657</v>
      </c>
      <c r="K91" s="17">
        <v>34980945</v>
      </c>
      <c r="L91" s="17">
        <v>34814726</v>
      </c>
      <c r="M91" s="18">
        <v>48978777.960000001</v>
      </c>
      <c r="N91" s="17">
        <f>SUM(N94:N98)</f>
        <v>50448141.340000004</v>
      </c>
      <c r="O91" s="17">
        <f t="shared" ref="O91:AN91" si="99">SUM(O94:O98)</f>
        <v>51961585.580200002</v>
      </c>
      <c r="P91" s="17">
        <f t="shared" si="99"/>
        <v>53520433.147606</v>
      </c>
      <c r="Q91" s="17">
        <f t="shared" si="99"/>
        <v>53520433.147606</v>
      </c>
      <c r="R91" s="17">
        <f t="shared" si="99"/>
        <v>53520433.147606</v>
      </c>
      <c r="S91" s="17">
        <f t="shared" si="99"/>
        <v>53520433.147606</v>
      </c>
      <c r="T91" s="17">
        <f t="shared" si="99"/>
        <v>53520433.147606</v>
      </c>
      <c r="U91" s="17">
        <f t="shared" si="99"/>
        <v>53520433.147606</v>
      </c>
      <c r="V91" s="17">
        <f t="shared" si="99"/>
        <v>53520433.147606</v>
      </c>
      <c r="W91" s="17">
        <f t="shared" si="99"/>
        <v>53520433.147606</v>
      </c>
      <c r="X91" s="17">
        <f t="shared" si="99"/>
        <v>53520433.147606</v>
      </c>
      <c r="Y91" s="17">
        <f t="shared" si="99"/>
        <v>53520433.147606</v>
      </c>
      <c r="Z91" s="17">
        <f t="shared" si="99"/>
        <v>53520433.147606</v>
      </c>
      <c r="AA91" s="17">
        <f t="shared" si="99"/>
        <v>53520433.147606</v>
      </c>
      <c r="AB91" s="17">
        <f t="shared" si="99"/>
        <v>53520433.147606</v>
      </c>
      <c r="AC91" s="17">
        <f t="shared" si="99"/>
        <v>53520433.147606</v>
      </c>
      <c r="AD91" s="17">
        <f t="shared" si="99"/>
        <v>53520433.147606</v>
      </c>
      <c r="AE91" s="17">
        <f t="shared" si="99"/>
        <v>53520433.147606</v>
      </c>
      <c r="AF91" s="17">
        <f t="shared" si="99"/>
        <v>53520433.147606</v>
      </c>
      <c r="AG91" s="17">
        <f t="shared" si="99"/>
        <v>53520433.147606</v>
      </c>
      <c r="AH91" s="17">
        <f t="shared" si="99"/>
        <v>53520433.147606</v>
      </c>
      <c r="AI91" s="17">
        <f t="shared" si="99"/>
        <v>53520433.147606</v>
      </c>
      <c r="AJ91" s="17">
        <f t="shared" si="99"/>
        <v>53520433.147606</v>
      </c>
      <c r="AK91" s="17">
        <f t="shared" si="99"/>
        <v>53520433.147606</v>
      </c>
      <c r="AL91" s="17">
        <f t="shared" si="99"/>
        <v>53520433.147606</v>
      </c>
      <c r="AM91" s="17">
        <f t="shared" si="99"/>
        <v>53520433.147606</v>
      </c>
      <c r="AN91" s="17">
        <f t="shared" si="99"/>
        <v>53520433.147606</v>
      </c>
    </row>
    <row r="92" spans="1:40" x14ac:dyDescent="0.35">
      <c r="A92" s="19" t="s">
        <v>23</v>
      </c>
      <c r="B92" s="19"/>
      <c r="C92" s="19"/>
      <c r="D92" s="1"/>
      <c r="E92" s="21">
        <f t="shared" ref="E92:AN92" si="100">E91/E67</f>
        <v>0.57011662976371835</v>
      </c>
      <c r="F92" s="21">
        <f t="shared" si="100"/>
        <v>0.56175302424447038</v>
      </c>
      <c r="G92" s="21">
        <f t="shared" si="100"/>
        <v>0.57163156209389421</v>
      </c>
      <c r="H92" s="21">
        <f t="shared" si="100"/>
        <v>0.58622304022439975</v>
      </c>
      <c r="I92" s="21">
        <f t="shared" si="100"/>
        <v>0.59986954020862226</v>
      </c>
      <c r="J92" s="21">
        <f t="shared" si="100"/>
        <v>0.65949781053678158</v>
      </c>
      <c r="K92" s="21">
        <f t="shared" si="100"/>
        <v>0.65109304306121807</v>
      </c>
      <c r="L92" s="21">
        <f t="shared" si="100"/>
        <v>0.63729070757409834</v>
      </c>
      <c r="M92" s="265">
        <f t="shared" si="100"/>
        <v>0.64772203119755423</v>
      </c>
      <c r="N92" s="21">
        <f t="shared" si="100"/>
        <v>0.64994495651977735</v>
      </c>
      <c r="O92" s="21">
        <f t="shared" si="100"/>
        <v>0.66026450312403218</v>
      </c>
      <c r="P92" s="21">
        <f t="shared" si="100"/>
        <v>0.66244871915347192</v>
      </c>
      <c r="Q92" s="21">
        <f t="shared" si="100"/>
        <v>0.66244871915347192</v>
      </c>
      <c r="R92" s="21">
        <f t="shared" si="100"/>
        <v>0.66244871915347192</v>
      </c>
      <c r="S92" s="21">
        <f t="shared" si="100"/>
        <v>0.66244871915347192</v>
      </c>
      <c r="T92" s="21">
        <f t="shared" si="100"/>
        <v>0.66244871915347192</v>
      </c>
      <c r="U92" s="21">
        <f t="shared" si="100"/>
        <v>0.66244871915347192</v>
      </c>
      <c r="V92" s="21">
        <f t="shared" si="100"/>
        <v>0.66244871915347192</v>
      </c>
      <c r="W92" s="21">
        <f t="shared" si="100"/>
        <v>0.66244871915347192</v>
      </c>
      <c r="X92" s="21">
        <f t="shared" si="100"/>
        <v>0.66244871915347192</v>
      </c>
      <c r="Y92" s="21">
        <f t="shared" si="100"/>
        <v>0.66244871915347192</v>
      </c>
      <c r="Z92" s="21">
        <f t="shared" si="100"/>
        <v>0.66244871915347192</v>
      </c>
      <c r="AA92" s="21">
        <f t="shared" si="100"/>
        <v>0.66244871915347192</v>
      </c>
      <c r="AB92" s="21">
        <f t="shared" si="100"/>
        <v>0.66244871915347192</v>
      </c>
      <c r="AC92" s="21">
        <f t="shared" si="100"/>
        <v>0.66244871915347192</v>
      </c>
      <c r="AD92" s="21">
        <f t="shared" si="100"/>
        <v>0.66244871915347192</v>
      </c>
      <c r="AE92" s="21">
        <f t="shared" si="100"/>
        <v>0.66244871915347192</v>
      </c>
      <c r="AF92" s="21">
        <f t="shared" si="100"/>
        <v>0.66244871915347192</v>
      </c>
      <c r="AG92" s="21">
        <f t="shared" si="100"/>
        <v>0.66244871915347192</v>
      </c>
      <c r="AH92" s="21">
        <f t="shared" si="100"/>
        <v>0.66244871915347192</v>
      </c>
      <c r="AI92" s="21">
        <f t="shared" si="100"/>
        <v>0.66244871915347192</v>
      </c>
      <c r="AJ92" s="21">
        <f t="shared" si="100"/>
        <v>0.66244871915347192</v>
      </c>
      <c r="AK92" s="21">
        <f t="shared" si="100"/>
        <v>0.66244871915347192</v>
      </c>
      <c r="AL92" s="21">
        <f t="shared" si="100"/>
        <v>0.66244871915347192</v>
      </c>
      <c r="AM92" s="21">
        <f t="shared" si="100"/>
        <v>0.66244871915347192</v>
      </c>
      <c r="AN92" s="21">
        <f t="shared" si="100"/>
        <v>0.66244871915347192</v>
      </c>
    </row>
    <row r="93" spans="1:40" x14ac:dyDescent="0.35">
      <c r="A93" s="1"/>
      <c r="B93" s="1"/>
      <c r="C93" s="1"/>
      <c r="D93" s="1"/>
      <c r="E93" s="17"/>
      <c r="F93" s="17"/>
      <c r="G93" s="17"/>
      <c r="H93" s="17"/>
      <c r="I93" s="17"/>
      <c r="J93" s="17"/>
      <c r="K93" s="17"/>
      <c r="L93" s="17"/>
      <c r="M93" s="18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</row>
    <row r="94" spans="1:40" x14ac:dyDescent="0.35">
      <c r="A94" s="33" t="s">
        <v>24</v>
      </c>
      <c r="B94" s="24"/>
      <c r="C94" s="24"/>
      <c r="D94" s="24"/>
      <c r="E94" s="28">
        <v>14084698</v>
      </c>
      <c r="F94" s="28">
        <v>15396396</v>
      </c>
      <c r="G94" s="28">
        <v>16023348</v>
      </c>
      <c r="H94" s="28">
        <v>17143233</v>
      </c>
      <c r="I94" s="28">
        <v>19911981</v>
      </c>
      <c r="J94" s="28">
        <v>21884114</v>
      </c>
      <c r="K94" s="28">
        <v>24739793.77</v>
      </c>
      <c r="L94" s="28">
        <f>24830121+120533</f>
        <v>24950654</v>
      </c>
      <c r="M94" s="267">
        <v>34990125</v>
      </c>
      <c r="N94" s="28">
        <f>M94*1.03</f>
        <v>36039828.75</v>
      </c>
      <c r="O94" s="28">
        <f>N94*1.03</f>
        <v>37121023.612500004</v>
      </c>
      <c r="P94" s="28">
        <f t="shared" ref="P94:P98" si="101">O94*1.03</f>
        <v>38234654.320875004</v>
      </c>
      <c r="Q94" s="28">
        <f t="shared" ref="Q94:R98" si="102">P94</f>
        <v>38234654.320875004</v>
      </c>
      <c r="R94" s="28">
        <f t="shared" si="102"/>
        <v>38234654.320875004</v>
      </c>
      <c r="S94" s="28">
        <f t="shared" ref="S94:AN94" si="103">R94</f>
        <v>38234654.320875004</v>
      </c>
      <c r="T94" s="28">
        <f t="shared" si="103"/>
        <v>38234654.320875004</v>
      </c>
      <c r="U94" s="28">
        <f t="shared" si="103"/>
        <v>38234654.320875004</v>
      </c>
      <c r="V94" s="28">
        <f t="shared" si="103"/>
        <v>38234654.320875004</v>
      </c>
      <c r="W94" s="28">
        <f t="shared" si="103"/>
        <v>38234654.320875004</v>
      </c>
      <c r="X94" s="28">
        <f t="shared" si="103"/>
        <v>38234654.320875004</v>
      </c>
      <c r="Y94" s="28">
        <f t="shared" si="103"/>
        <v>38234654.320875004</v>
      </c>
      <c r="Z94" s="28">
        <f t="shared" si="103"/>
        <v>38234654.320875004</v>
      </c>
      <c r="AA94" s="28">
        <f t="shared" si="103"/>
        <v>38234654.320875004</v>
      </c>
      <c r="AB94" s="28">
        <f t="shared" si="103"/>
        <v>38234654.320875004</v>
      </c>
      <c r="AC94" s="28">
        <f t="shared" si="103"/>
        <v>38234654.320875004</v>
      </c>
      <c r="AD94" s="28">
        <f t="shared" si="103"/>
        <v>38234654.320875004</v>
      </c>
      <c r="AE94" s="28">
        <f t="shared" si="103"/>
        <v>38234654.320875004</v>
      </c>
      <c r="AF94" s="28">
        <f t="shared" si="103"/>
        <v>38234654.320875004</v>
      </c>
      <c r="AG94" s="28">
        <f t="shared" si="103"/>
        <v>38234654.320875004</v>
      </c>
      <c r="AH94" s="28">
        <f t="shared" si="103"/>
        <v>38234654.320875004</v>
      </c>
      <c r="AI94" s="28">
        <f t="shared" si="103"/>
        <v>38234654.320875004</v>
      </c>
      <c r="AJ94" s="28">
        <f t="shared" si="103"/>
        <v>38234654.320875004</v>
      </c>
      <c r="AK94" s="28">
        <f t="shared" si="103"/>
        <v>38234654.320875004</v>
      </c>
      <c r="AL94" s="28">
        <f t="shared" si="103"/>
        <v>38234654.320875004</v>
      </c>
      <c r="AM94" s="28">
        <f t="shared" si="103"/>
        <v>38234654.320875004</v>
      </c>
      <c r="AN94" s="28">
        <f t="shared" si="103"/>
        <v>38234654.320875004</v>
      </c>
    </row>
    <row r="95" spans="1:40" x14ac:dyDescent="0.35">
      <c r="A95" s="33" t="s">
        <v>25</v>
      </c>
      <c r="B95" s="24"/>
      <c r="C95" s="24"/>
      <c r="D95" s="24"/>
      <c r="E95" s="28">
        <v>4948811</v>
      </c>
      <c r="F95" s="28">
        <v>5333960</v>
      </c>
      <c r="G95" s="28">
        <v>5545178</v>
      </c>
      <c r="H95" s="28">
        <v>5960289</v>
      </c>
      <c r="I95" s="28">
        <v>6978844</v>
      </c>
      <c r="J95" s="28">
        <v>7705404</v>
      </c>
      <c r="K95" s="28">
        <v>8689948.6400000006</v>
      </c>
      <c r="L95" s="28">
        <v>8715051</v>
      </c>
      <c r="M95" s="267">
        <v>12236965</v>
      </c>
      <c r="N95" s="28">
        <f t="shared" ref="N95:N98" si="104">M95*1.03</f>
        <v>12604073.950000001</v>
      </c>
      <c r="O95" s="28">
        <f t="shared" ref="O95:O98" si="105">N95*1.03</f>
        <v>12982196.168500001</v>
      </c>
      <c r="P95" s="28">
        <f t="shared" si="101"/>
        <v>13371662.053555001</v>
      </c>
      <c r="Q95" s="28">
        <f t="shared" si="102"/>
        <v>13371662.053555001</v>
      </c>
      <c r="R95" s="28">
        <f t="shared" si="102"/>
        <v>13371662.053555001</v>
      </c>
      <c r="S95" s="28">
        <f t="shared" ref="S95:AN95" si="106">R95</f>
        <v>13371662.053555001</v>
      </c>
      <c r="T95" s="28">
        <f t="shared" si="106"/>
        <v>13371662.053555001</v>
      </c>
      <c r="U95" s="28">
        <f t="shared" si="106"/>
        <v>13371662.053555001</v>
      </c>
      <c r="V95" s="28">
        <f t="shared" si="106"/>
        <v>13371662.053555001</v>
      </c>
      <c r="W95" s="28">
        <f t="shared" si="106"/>
        <v>13371662.053555001</v>
      </c>
      <c r="X95" s="28">
        <f t="shared" si="106"/>
        <v>13371662.053555001</v>
      </c>
      <c r="Y95" s="28">
        <f t="shared" si="106"/>
        <v>13371662.053555001</v>
      </c>
      <c r="Z95" s="28">
        <f t="shared" si="106"/>
        <v>13371662.053555001</v>
      </c>
      <c r="AA95" s="28">
        <f t="shared" si="106"/>
        <v>13371662.053555001</v>
      </c>
      <c r="AB95" s="28">
        <f t="shared" si="106"/>
        <v>13371662.053555001</v>
      </c>
      <c r="AC95" s="28">
        <f t="shared" si="106"/>
        <v>13371662.053555001</v>
      </c>
      <c r="AD95" s="28">
        <f t="shared" si="106"/>
        <v>13371662.053555001</v>
      </c>
      <c r="AE95" s="28">
        <f t="shared" si="106"/>
        <v>13371662.053555001</v>
      </c>
      <c r="AF95" s="28">
        <f t="shared" si="106"/>
        <v>13371662.053555001</v>
      </c>
      <c r="AG95" s="28">
        <f t="shared" si="106"/>
        <v>13371662.053555001</v>
      </c>
      <c r="AH95" s="28">
        <f t="shared" si="106"/>
        <v>13371662.053555001</v>
      </c>
      <c r="AI95" s="28">
        <f t="shared" si="106"/>
        <v>13371662.053555001</v>
      </c>
      <c r="AJ95" s="28">
        <f t="shared" si="106"/>
        <v>13371662.053555001</v>
      </c>
      <c r="AK95" s="28">
        <f t="shared" si="106"/>
        <v>13371662.053555001</v>
      </c>
      <c r="AL95" s="28">
        <f t="shared" si="106"/>
        <v>13371662.053555001</v>
      </c>
      <c r="AM95" s="28">
        <f t="shared" si="106"/>
        <v>13371662.053555001</v>
      </c>
      <c r="AN95" s="28">
        <f t="shared" si="106"/>
        <v>13371662.053555001</v>
      </c>
    </row>
    <row r="96" spans="1:40" x14ac:dyDescent="0.35">
      <c r="A96" s="33" t="s">
        <v>26</v>
      </c>
      <c r="B96" s="24"/>
      <c r="C96" s="24"/>
      <c r="D96" s="24"/>
      <c r="E96" s="28">
        <v>128413</v>
      </c>
      <c r="F96" s="28">
        <v>193746</v>
      </c>
      <c r="G96" s="28">
        <v>219042</v>
      </c>
      <c r="H96" s="28">
        <v>234942</v>
      </c>
      <c r="I96" s="28">
        <v>280675</v>
      </c>
      <c r="J96" s="28">
        <v>305065</v>
      </c>
      <c r="K96" s="28">
        <v>349756.15999999997</v>
      </c>
      <c r="L96" s="28">
        <v>361825</v>
      </c>
      <c r="M96" s="267">
        <v>394017</v>
      </c>
      <c r="N96" s="28">
        <f t="shared" si="104"/>
        <v>405837.51</v>
      </c>
      <c r="O96" s="28">
        <f t="shared" si="105"/>
        <v>418012.63530000002</v>
      </c>
      <c r="P96" s="28">
        <f t="shared" si="101"/>
        <v>430553.01435900002</v>
      </c>
      <c r="Q96" s="28">
        <f t="shared" si="102"/>
        <v>430553.01435900002</v>
      </c>
      <c r="R96" s="28">
        <f t="shared" si="102"/>
        <v>430553.01435900002</v>
      </c>
      <c r="S96" s="28">
        <f t="shared" ref="S96:AN96" si="107">R96</f>
        <v>430553.01435900002</v>
      </c>
      <c r="T96" s="28">
        <f t="shared" si="107"/>
        <v>430553.01435900002</v>
      </c>
      <c r="U96" s="28">
        <f t="shared" si="107"/>
        <v>430553.01435900002</v>
      </c>
      <c r="V96" s="28">
        <f t="shared" si="107"/>
        <v>430553.01435900002</v>
      </c>
      <c r="W96" s="28">
        <f t="shared" si="107"/>
        <v>430553.01435900002</v>
      </c>
      <c r="X96" s="28">
        <f t="shared" si="107"/>
        <v>430553.01435900002</v>
      </c>
      <c r="Y96" s="28">
        <f t="shared" si="107"/>
        <v>430553.01435900002</v>
      </c>
      <c r="Z96" s="28">
        <f t="shared" si="107"/>
        <v>430553.01435900002</v>
      </c>
      <c r="AA96" s="28">
        <f t="shared" si="107"/>
        <v>430553.01435900002</v>
      </c>
      <c r="AB96" s="28">
        <f t="shared" si="107"/>
        <v>430553.01435900002</v>
      </c>
      <c r="AC96" s="28">
        <f t="shared" si="107"/>
        <v>430553.01435900002</v>
      </c>
      <c r="AD96" s="28">
        <f t="shared" si="107"/>
        <v>430553.01435900002</v>
      </c>
      <c r="AE96" s="28">
        <f t="shared" si="107"/>
        <v>430553.01435900002</v>
      </c>
      <c r="AF96" s="28">
        <f t="shared" si="107"/>
        <v>430553.01435900002</v>
      </c>
      <c r="AG96" s="28">
        <f t="shared" si="107"/>
        <v>430553.01435900002</v>
      </c>
      <c r="AH96" s="28">
        <f t="shared" si="107"/>
        <v>430553.01435900002</v>
      </c>
      <c r="AI96" s="28">
        <f t="shared" si="107"/>
        <v>430553.01435900002</v>
      </c>
      <c r="AJ96" s="28">
        <f t="shared" si="107"/>
        <v>430553.01435900002</v>
      </c>
      <c r="AK96" s="28">
        <f t="shared" si="107"/>
        <v>430553.01435900002</v>
      </c>
      <c r="AL96" s="28">
        <f t="shared" si="107"/>
        <v>430553.01435900002</v>
      </c>
      <c r="AM96" s="28">
        <f t="shared" si="107"/>
        <v>430553.01435900002</v>
      </c>
      <c r="AN96" s="28">
        <f t="shared" si="107"/>
        <v>430553.01435900002</v>
      </c>
    </row>
    <row r="97" spans="1:40" x14ac:dyDescent="0.35">
      <c r="A97" s="33" t="s">
        <v>27</v>
      </c>
      <c r="B97" s="24"/>
      <c r="C97" s="24"/>
      <c r="D97" s="24"/>
      <c r="E97" s="28">
        <v>616640</v>
      </c>
      <c r="F97" s="28">
        <v>715323</v>
      </c>
      <c r="G97" s="28">
        <v>646371</v>
      </c>
      <c r="H97" s="28">
        <v>683118</v>
      </c>
      <c r="I97" s="28">
        <v>861117</v>
      </c>
      <c r="J97" s="28">
        <v>1236075</v>
      </c>
      <c r="K97" s="28">
        <v>1200186.6399999999</v>
      </c>
      <c r="L97" s="28">
        <v>773600</v>
      </c>
      <c r="M97" s="267">
        <v>1345671</v>
      </c>
      <c r="N97" s="28">
        <f t="shared" si="104"/>
        <v>1386041.1300000001</v>
      </c>
      <c r="O97" s="28">
        <f t="shared" si="105"/>
        <v>1427622.3639000002</v>
      </c>
      <c r="P97" s="28">
        <f t="shared" si="101"/>
        <v>1470451.0348170004</v>
      </c>
      <c r="Q97" s="28">
        <f t="shared" si="102"/>
        <v>1470451.0348170004</v>
      </c>
      <c r="R97" s="28">
        <f t="shared" si="102"/>
        <v>1470451.0348170004</v>
      </c>
      <c r="S97" s="28">
        <f t="shared" ref="S97:AN97" si="108">R97</f>
        <v>1470451.0348170004</v>
      </c>
      <c r="T97" s="28">
        <f t="shared" si="108"/>
        <v>1470451.0348170004</v>
      </c>
      <c r="U97" s="28">
        <f t="shared" si="108"/>
        <v>1470451.0348170004</v>
      </c>
      <c r="V97" s="28">
        <f t="shared" si="108"/>
        <v>1470451.0348170004</v>
      </c>
      <c r="W97" s="28">
        <f t="shared" si="108"/>
        <v>1470451.0348170004</v>
      </c>
      <c r="X97" s="28">
        <f t="shared" si="108"/>
        <v>1470451.0348170004</v>
      </c>
      <c r="Y97" s="28">
        <f t="shared" si="108"/>
        <v>1470451.0348170004</v>
      </c>
      <c r="Z97" s="28">
        <f t="shared" si="108"/>
        <v>1470451.0348170004</v>
      </c>
      <c r="AA97" s="28">
        <f t="shared" si="108"/>
        <v>1470451.0348170004</v>
      </c>
      <c r="AB97" s="28">
        <f t="shared" si="108"/>
        <v>1470451.0348170004</v>
      </c>
      <c r="AC97" s="28">
        <f t="shared" si="108"/>
        <v>1470451.0348170004</v>
      </c>
      <c r="AD97" s="28">
        <f t="shared" si="108"/>
        <v>1470451.0348170004</v>
      </c>
      <c r="AE97" s="28">
        <f t="shared" si="108"/>
        <v>1470451.0348170004</v>
      </c>
      <c r="AF97" s="28">
        <f t="shared" si="108"/>
        <v>1470451.0348170004</v>
      </c>
      <c r="AG97" s="28">
        <f t="shared" si="108"/>
        <v>1470451.0348170004</v>
      </c>
      <c r="AH97" s="28">
        <f t="shared" si="108"/>
        <v>1470451.0348170004</v>
      </c>
      <c r="AI97" s="28">
        <f t="shared" si="108"/>
        <v>1470451.0348170004</v>
      </c>
      <c r="AJ97" s="28">
        <f t="shared" si="108"/>
        <v>1470451.0348170004</v>
      </c>
      <c r="AK97" s="28">
        <f t="shared" si="108"/>
        <v>1470451.0348170004</v>
      </c>
      <c r="AL97" s="28">
        <f t="shared" si="108"/>
        <v>1470451.0348170004</v>
      </c>
      <c r="AM97" s="28">
        <f t="shared" si="108"/>
        <v>1470451.0348170004</v>
      </c>
      <c r="AN97" s="28">
        <f t="shared" si="108"/>
        <v>1470451.0348170004</v>
      </c>
    </row>
    <row r="98" spans="1:40" x14ac:dyDescent="0.35">
      <c r="A98" s="33" t="s">
        <v>28</v>
      </c>
      <c r="B98" s="24"/>
      <c r="C98" s="24"/>
      <c r="D98" s="24"/>
      <c r="E98" s="28">
        <v>2956</v>
      </c>
      <c r="F98" s="28">
        <v>1272</v>
      </c>
      <c r="G98" s="28">
        <v>3531</v>
      </c>
      <c r="H98" s="28">
        <v>2508</v>
      </c>
      <c r="I98" s="28">
        <v>1190</v>
      </c>
      <c r="J98" s="28">
        <v>0</v>
      </c>
      <c r="K98" s="28">
        <v>1260</v>
      </c>
      <c r="L98" s="28">
        <v>13596</v>
      </c>
      <c r="M98" s="267">
        <v>12000</v>
      </c>
      <c r="N98" s="28">
        <f t="shared" si="104"/>
        <v>12360</v>
      </c>
      <c r="O98" s="28">
        <f t="shared" si="105"/>
        <v>12730.800000000001</v>
      </c>
      <c r="P98" s="28">
        <f t="shared" si="101"/>
        <v>13112.724000000002</v>
      </c>
      <c r="Q98" s="28">
        <f t="shared" si="102"/>
        <v>13112.724000000002</v>
      </c>
      <c r="R98" s="28">
        <f t="shared" si="102"/>
        <v>13112.724000000002</v>
      </c>
      <c r="S98" s="28">
        <f t="shared" ref="S98:AN98" si="109">R98</f>
        <v>13112.724000000002</v>
      </c>
      <c r="T98" s="28">
        <f t="shared" si="109"/>
        <v>13112.724000000002</v>
      </c>
      <c r="U98" s="28">
        <f t="shared" si="109"/>
        <v>13112.724000000002</v>
      </c>
      <c r="V98" s="28">
        <f t="shared" si="109"/>
        <v>13112.724000000002</v>
      </c>
      <c r="W98" s="28">
        <f t="shared" si="109"/>
        <v>13112.724000000002</v>
      </c>
      <c r="X98" s="28">
        <f t="shared" si="109"/>
        <v>13112.724000000002</v>
      </c>
      <c r="Y98" s="28">
        <f t="shared" si="109"/>
        <v>13112.724000000002</v>
      </c>
      <c r="Z98" s="28">
        <f t="shared" si="109"/>
        <v>13112.724000000002</v>
      </c>
      <c r="AA98" s="28">
        <f t="shared" si="109"/>
        <v>13112.724000000002</v>
      </c>
      <c r="AB98" s="28">
        <f t="shared" si="109"/>
        <v>13112.724000000002</v>
      </c>
      <c r="AC98" s="28">
        <f t="shared" si="109"/>
        <v>13112.724000000002</v>
      </c>
      <c r="AD98" s="28">
        <f t="shared" si="109"/>
        <v>13112.724000000002</v>
      </c>
      <c r="AE98" s="28">
        <f t="shared" si="109"/>
        <v>13112.724000000002</v>
      </c>
      <c r="AF98" s="28">
        <f t="shared" si="109"/>
        <v>13112.724000000002</v>
      </c>
      <c r="AG98" s="28">
        <f t="shared" si="109"/>
        <v>13112.724000000002</v>
      </c>
      <c r="AH98" s="28">
        <f t="shared" si="109"/>
        <v>13112.724000000002</v>
      </c>
      <c r="AI98" s="28">
        <f t="shared" si="109"/>
        <v>13112.724000000002</v>
      </c>
      <c r="AJ98" s="28">
        <f t="shared" si="109"/>
        <v>13112.724000000002</v>
      </c>
      <c r="AK98" s="28">
        <f t="shared" si="109"/>
        <v>13112.724000000002</v>
      </c>
      <c r="AL98" s="28">
        <f t="shared" si="109"/>
        <v>13112.724000000002</v>
      </c>
      <c r="AM98" s="28">
        <f t="shared" si="109"/>
        <v>13112.724000000002</v>
      </c>
      <c r="AN98" s="28">
        <f t="shared" si="109"/>
        <v>13112.724000000002</v>
      </c>
    </row>
    <row r="99" spans="1:40" x14ac:dyDescent="0.35">
      <c r="A99" s="1"/>
      <c r="B99" s="1"/>
      <c r="C99" s="1"/>
      <c r="D99" s="1"/>
      <c r="E99" s="17"/>
      <c r="F99" s="17"/>
      <c r="G99" s="17"/>
      <c r="H99" s="17"/>
      <c r="I99" s="17"/>
      <c r="J99" s="17"/>
      <c r="K99" s="17"/>
      <c r="L99" s="17"/>
      <c r="M99" s="18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</row>
    <row r="100" spans="1:40" x14ac:dyDescent="0.35">
      <c r="A100" s="325" t="s">
        <v>29</v>
      </c>
      <c r="B100" s="325"/>
      <c r="C100" s="1"/>
      <c r="D100" s="1"/>
      <c r="E100" s="17">
        <v>829368</v>
      </c>
      <c r="F100" s="17">
        <v>1102040</v>
      </c>
      <c r="G100" s="17">
        <v>672641</v>
      </c>
      <c r="H100" s="17">
        <v>814391</v>
      </c>
      <c r="I100" s="17">
        <v>797112</v>
      </c>
      <c r="J100" s="17">
        <v>695583</v>
      </c>
      <c r="K100" s="17">
        <v>784814</v>
      </c>
      <c r="L100" s="17">
        <v>834152</v>
      </c>
      <c r="M100" s="18">
        <v>959280</v>
      </c>
      <c r="N100" s="17">
        <f>M100*1.02</f>
        <v>978465.6</v>
      </c>
      <c r="O100" s="17">
        <f>N100*1.02</f>
        <v>998034.91200000001</v>
      </c>
      <c r="P100" s="17">
        <f>O100*1.02</f>
        <v>1017995.6102400001</v>
      </c>
      <c r="Q100" s="17">
        <f>P100</f>
        <v>1017995.6102400001</v>
      </c>
      <c r="R100" s="17">
        <f>Q100</f>
        <v>1017995.6102400001</v>
      </c>
      <c r="S100" s="17">
        <f t="shared" ref="S100:AN100" si="110">R100</f>
        <v>1017995.6102400001</v>
      </c>
      <c r="T100" s="17">
        <f t="shared" si="110"/>
        <v>1017995.6102400001</v>
      </c>
      <c r="U100" s="17">
        <f t="shared" si="110"/>
        <v>1017995.6102400001</v>
      </c>
      <c r="V100" s="17">
        <f t="shared" si="110"/>
        <v>1017995.6102400001</v>
      </c>
      <c r="W100" s="17">
        <f t="shared" si="110"/>
        <v>1017995.6102400001</v>
      </c>
      <c r="X100" s="17">
        <f t="shared" si="110"/>
        <v>1017995.6102400001</v>
      </c>
      <c r="Y100" s="17">
        <f t="shared" si="110"/>
        <v>1017995.6102400001</v>
      </c>
      <c r="Z100" s="17">
        <f t="shared" si="110"/>
        <v>1017995.6102400001</v>
      </c>
      <c r="AA100" s="17">
        <f t="shared" si="110"/>
        <v>1017995.6102400001</v>
      </c>
      <c r="AB100" s="17">
        <f t="shared" si="110"/>
        <v>1017995.6102400001</v>
      </c>
      <c r="AC100" s="17">
        <f t="shared" si="110"/>
        <v>1017995.6102400001</v>
      </c>
      <c r="AD100" s="17">
        <f t="shared" si="110"/>
        <v>1017995.6102400001</v>
      </c>
      <c r="AE100" s="17">
        <f t="shared" si="110"/>
        <v>1017995.6102400001</v>
      </c>
      <c r="AF100" s="17">
        <f t="shared" si="110"/>
        <v>1017995.6102400001</v>
      </c>
      <c r="AG100" s="17">
        <f t="shared" si="110"/>
        <v>1017995.6102400001</v>
      </c>
      <c r="AH100" s="17">
        <f t="shared" si="110"/>
        <v>1017995.6102400001</v>
      </c>
      <c r="AI100" s="17">
        <f t="shared" si="110"/>
        <v>1017995.6102400001</v>
      </c>
      <c r="AJ100" s="17">
        <f t="shared" si="110"/>
        <v>1017995.6102400001</v>
      </c>
      <c r="AK100" s="17">
        <f t="shared" si="110"/>
        <v>1017995.6102400001</v>
      </c>
      <c r="AL100" s="17">
        <f t="shared" si="110"/>
        <v>1017995.6102400001</v>
      </c>
      <c r="AM100" s="17">
        <f t="shared" si="110"/>
        <v>1017995.6102400001</v>
      </c>
      <c r="AN100" s="17">
        <f t="shared" si="110"/>
        <v>1017995.6102400001</v>
      </c>
    </row>
    <row r="101" spans="1:40" x14ac:dyDescent="0.35">
      <c r="A101" s="34" t="s">
        <v>30</v>
      </c>
      <c r="B101" s="34"/>
      <c r="C101" s="19"/>
      <c r="D101" s="19"/>
      <c r="E101" s="21">
        <f t="shared" ref="E101:AN101" si="111">E100/E67</f>
        <v>2.3902942584784218E-2</v>
      </c>
      <c r="F101" s="21">
        <f t="shared" si="111"/>
        <v>2.8606949741282636E-2</v>
      </c>
      <c r="G101" s="21">
        <f t="shared" si="111"/>
        <v>1.7136639093373679E-2</v>
      </c>
      <c r="H101" s="21">
        <f t="shared" si="111"/>
        <v>1.987233348720897E-2</v>
      </c>
      <c r="I101" s="21">
        <f t="shared" si="111"/>
        <v>1.7056663368438519E-2</v>
      </c>
      <c r="J101" s="21">
        <f t="shared" si="111"/>
        <v>1.4735810604530645E-2</v>
      </c>
      <c r="K101" s="21">
        <f t="shared" si="111"/>
        <v>1.4607579512132872E-2</v>
      </c>
      <c r="L101" s="21">
        <f t="shared" si="111"/>
        <v>1.5269323627718608E-2</v>
      </c>
      <c r="M101" s="265">
        <f t="shared" si="111"/>
        <v>1.2686041097118255E-2</v>
      </c>
      <c r="N101" s="21">
        <f t="shared" si="111"/>
        <v>1.2605990329000647E-2</v>
      </c>
      <c r="O101" s="21">
        <f t="shared" si="111"/>
        <v>1.2681811340322474E-2</v>
      </c>
      <c r="P101" s="21">
        <f t="shared" si="111"/>
        <v>1.2600232256108153E-2</v>
      </c>
      <c r="Q101" s="21">
        <f t="shared" si="111"/>
        <v>1.2600232256108153E-2</v>
      </c>
      <c r="R101" s="21">
        <f t="shared" si="111"/>
        <v>1.2600232256108153E-2</v>
      </c>
      <c r="S101" s="21">
        <f t="shared" si="111"/>
        <v>1.2600232256108153E-2</v>
      </c>
      <c r="T101" s="21">
        <f t="shared" si="111"/>
        <v>1.2600232256108153E-2</v>
      </c>
      <c r="U101" s="21">
        <f t="shared" si="111"/>
        <v>1.2600232256108153E-2</v>
      </c>
      <c r="V101" s="21">
        <f t="shared" si="111"/>
        <v>1.2600232256108153E-2</v>
      </c>
      <c r="W101" s="21">
        <f t="shared" si="111"/>
        <v>1.2600232256108153E-2</v>
      </c>
      <c r="X101" s="21">
        <f t="shared" si="111"/>
        <v>1.2600232256108153E-2</v>
      </c>
      <c r="Y101" s="21">
        <f t="shared" si="111"/>
        <v>1.2600232256108153E-2</v>
      </c>
      <c r="Z101" s="21">
        <f t="shared" si="111"/>
        <v>1.2600232256108153E-2</v>
      </c>
      <c r="AA101" s="21">
        <f t="shared" si="111"/>
        <v>1.2600232256108153E-2</v>
      </c>
      <c r="AB101" s="21">
        <f t="shared" si="111"/>
        <v>1.2600232256108153E-2</v>
      </c>
      <c r="AC101" s="21">
        <f t="shared" si="111"/>
        <v>1.2600232256108153E-2</v>
      </c>
      <c r="AD101" s="21">
        <f t="shared" si="111"/>
        <v>1.2600232256108153E-2</v>
      </c>
      <c r="AE101" s="21">
        <f t="shared" si="111"/>
        <v>1.2600232256108153E-2</v>
      </c>
      <c r="AF101" s="21">
        <f t="shared" si="111"/>
        <v>1.2600232256108153E-2</v>
      </c>
      <c r="AG101" s="21">
        <f t="shared" si="111"/>
        <v>1.2600232256108153E-2</v>
      </c>
      <c r="AH101" s="21">
        <f t="shared" si="111"/>
        <v>1.2600232256108153E-2</v>
      </c>
      <c r="AI101" s="21">
        <f t="shared" si="111"/>
        <v>1.2600232256108153E-2</v>
      </c>
      <c r="AJ101" s="21">
        <f t="shared" si="111"/>
        <v>1.2600232256108153E-2</v>
      </c>
      <c r="AK101" s="21">
        <f t="shared" si="111"/>
        <v>1.2600232256108153E-2</v>
      </c>
      <c r="AL101" s="21">
        <f t="shared" si="111"/>
        <v>1.2600232256108153E-2</v>
      </c>
      <c r="AM101" s="21">
        <f t="shared" si="111"/>
        <v>1.2600232256108153E-2</v>
      </c>
      <c r="AN101" s="21">
        <f t="shared" si="111"/>
        <v>1.2600232256108153E-2</v>
      </c>
    </row>
    <row r="102" spans="1:40" x14ac:dyDescent="0.35">
      <c r="A102" s="236"/>
      <c r="B102" s="236"/>
      <c r="C102" s="1"/>
      <c r="D102" s="1"/>
      <c r="E102" s="17"/>
      <c r="F102" s="17"/>
      <c r="G102" s="17"/>
      <c r="H102" s="17"/>
      <c r="I102" s="17"/>
      <c r="J102" s="17"/>
      <c r="K102" s="17"/>
      <c r="L102" s="17"/>
      <c r="M102" s="18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</row>
    <row r="103" spans="1:40" x14ac:dyDescent="0.35">
      <c r="A103" s="325" t="s">
        <v>31</v>
      </c>
      <c r="B103" s="325"/>
      <c r="C103" s="1"/>
      <c r="D103" s="1"/>
      <c r="E103" s="17">
        <v>2441149</v>
      </c>
      <c r="F103" s="17">
        <v>2578108</v>
      </c>
      <c r="G103" s="17">
        <v>2600122</v>
      </c>
      <c r="H103" s="17">
        <v>2907040</v>
      </c>
      <c r="I103" s="17">
        <v>3105273</v>
      </c>
      <c r="J103" s="17">
        <v>2728798</v>
      </c>
      <c r="K103" s="36">
        <v>2952173</v>
      </c>
      <c r="L103" s="17">
        <v>3248925</v>
      </c>
      <c r="M103" s="18">
        <v>3736260</v>
      </c>
      <c r="N103" s="17">
        <f>M103*1.02</f>
        <v>3810985.2</v>
      </c>
      <c r="O103" s="17">
        <f>N103*1.02</f>
        <v>3887204.9040000001</v>
      </c>
      <c r="P103" s="17">
        <f t="shared" ref="P103" si="112">O103*1.02</f>
        <v>3964949.00208</v>
      </c>
      <c r="Q103" s="17">
        <f>P103</f>
        <v>3964949.00208</v>
      </c>
      <c r="R103" s="17">
        <f>Q103</f>
        <v>3964949.00208</v>
      </c>
      <c r="S103" s="17">
        <f t="shared" ref="S103:AN103" si="113">R103</f>
        <v>3964949.00208</v>
      </c>
      <c r="T103" s="17">
        <f t="shared" si="113"/>
        <v>3964949.00208</v>
      </c>
      <c r="U103" s="17">
        <f t="shared" si="113"/>
        <v>3964949.00208</v>
      </c>
      <c r="V103" s="17">
        <f t="shared" si="113"/>
        <v>3964949.00208</v>
      </c>
      <c r="W103" s="17">
        <f t="shared" si="113"/>
        <v>3964949.00208</v>
      </c>
      <c r="X103" s="17">
        <f t="shared" si="113"/>
        <v>3964949.00208</v>
      </c>
      <c r="Y103" s="17">
        <f t="shared" si="113"/>
        <v>3964949.00208</v>
      </c>
      <c r="Z103" s="17">
        <f t="shared" si="113"/>
        <v>3964949.00208</v>
      </c>
      <c r="AA103" s="17">
        <f t="shared" si="113"/>
        <v>3964949.00208</v>
      </c>
      <c r="AB103" s="17">
        <f t="shared" si="113"/>
        <v>3964949.00208</v>
      </c>
      <c r="AC103" s="17">
        <f t="shared" si="113"/>
        <v>3964949.00208</v>
      </c>
      <c r="AD103" s="17">
        <f t="shared" si="113"/>
        <v>3964949.00208</v>
      </c>
      <c r="AE103" s="17">
        <f t="shared" si="113"/>
        <v>3964949.00208</v>
      </c>
      <c r="AF103" s="17">
        <f t="shared" si="113"/>
        <v>3964949.00208</v>
      </c>
      <c r="AG103" s="17">
        <f t="shared" si="113"/>
        <v>3964949.00208</v>
      </c>
      <c r="AH103" s="17">
        <f t="shared" si="113"/>
        <v>3964949.00208</v>
      </c>
      <c r="AI103" s="17">
        <f t="shared" si="113"/>
        <v>3964949.00208</v>
      </c>
      <c r="AJ103" s="17">
        <f t="shared" si="113"/>
        <v>3964949.00208</v>
      </c>
      <c r="AK103" s="17">
        <f t="shared" si="113"/>
        <v>3964949.00208</v>
      </c>
      <c r="AL103" s="17">
        <f t="shared" si="113"/>
        <v>3964949.00208</v>
      </c>
      <c r="AM103" s="17">
        <f t="shared" si="113"/>
        <v>3964949.00208</v>
      </c>
      <c r="AN103" s="17">
        <f t="shared" si="113"/>
        <v>3964949.00208</v>
      </c>
    </row>
    <row r="104" spans="1:40" x14ac:dyDescent="0.35">
      <c r="A104" s="37" t="s">
        <v>32</v>
      </c>
      <c r="B104" s="37"/>
      <c r="C104" s="1"/>
      <c r="D104" s="1"/>
      <c r="E104" s="21">
        <f t="shared" ref="E104:AN104" si="114">E103/E67</f>
        <v>7.0355553129495485E-2</v>
      </c>
      <c r="F104" s="21">
        <f t="shared" si="114"/>
        <v>6.6922984631772611E-2</v>
      </c>
      <c r="G104" s="21">
        <f t="shared" si="114"/>
        <v>6.624239722636735E-2</v>
      </c>
      <c r="H104" s="21">
        <f t="shared" si="114"/>
        <v>7.0936034829284664E-2</v>
      </c>
      <c r="I104" s="21">
        <f t="shared" si="114"/>
        <v>6.644686848034051E-2</v>
      </c>
      <c r="J104" s="21">
        <f t="shared" si="114"/>
        <v>5.7809133498118864E-2</v>
      </c>
      <c r="K104" s="38">
        <f t="shared" si="114"/>
        <v>5.4948181137278181E-2</v>
      </c>
      <c r="L104" s="38">
        <f t="shared" si="114"/>
        <v>5.9472239192839761E-2</v>
      </c>
      <c r="M104" s="268">
        <f t="shared" si="114"/>
        <v>4.9410336825034457E-2</v>
      </c>
      <c r="N104" s="38">
        <f t="shared" si="114"/>
        <v>4.9098550398874119E-2</v>
      </c>
      <c r="O104" s="38">
        <f t="shared" si="114"/>
        <v>4.9393862520216464E-2</v>
      </c>
      <c r="P104" s="38">
        <f t="shared" si="114"/>
        <v>4.9076123518896092E-2</v>
      </c>
      <c r="Q104" s="38">
        <f t="shared" si="114"/>
        <v>4.9076123518896092E-2</v>
      </c>
      <c r="R104" s="38">
        <f t="shared" si="114"/>
        <v>4.9076123518896092E-2</v>
      </c>
      <c r="S104" s="38">
        <f t="shared" si="114"/>
        <v>4.9076123518896092E-2</v>
      </c>
      <c r="T104" s="38">
        <f t="shared" si="114"/>
        <v>4.9076123518896092E-2</v>
      </c>
      <c r="U104" s="38">
        <f t="shared" si="114"/>
        <v>4.9076123518896092E-2</v>
      </c>
      <c r="V104" s="38">
        <f t="shared" si="114"/>
        <v>4.9076123518896092E-2</v>
      </c>
      <c r="W104" s="38">
        <f t="shared" si="114"/>
        <v>4.9076123518896092E-2</v>
      </c>
      <c r="X104" s="38">
        <f t="shared" si="114"/>
        <v>4.9076123518896092E-2</v>
      </c>
      <c r="Y104" s="38">
        <f t="shared" si="114"/>
        <v>4.9076123518896092E-2</v>
      </c>
      <c r="Z104" s="38">
        <f t="shared" si="114"/>
        <v>4.9076123518896092E-2</v>
      </c>
      <c r="AA104" s="38">
        <f t="shared" si="114"/>
        <v>4.9076123518896092E-2</v>
      </c>
      <c r="AB104" s="38">
        <f t="shared" si="114"/>
        <v>4.9076123518896092E-2</v>
      </c>
      <c r="AC104" s="38">
        <f t="shared" si="114"/>
        <v>4.9076123518896092E-2</v>
      </c>
      <c r="AD104" s="38">
        <f t="shared" si="114"/>
        <v>4.9076123518896092E-2</v>
      </c>
      <c r="AE104" s="38">
        <f t="shared" si="114"/>
        <v>4.9076123518896092E-2</v>
      </c>
      <c r="AF104" s="38">
        <f t="shared" si="114"/>
        <v>4.9076123518896092E-2</v>
      </c>
      <c r="AG104" s="38">
        <f t="shared" si="114"/>
        <v>4.9076123518896092E-2</v>
      </c>
      <c r="AH104" s="38">
        <f t="shared" si="114"/>
        <v>4.9076123518896092E-2</v>
      </c>
      <c r="AI104" s="38">
        <f t="shared" si="114"/>
        <v>4.9076123518896092E-2</v>
      </c>
      <c r="AJ104" s="38">
        <f t="shared" si="114"/>
        <v>4.9076123518896092E-2</v>
      </c>
      <c r="AK104" s="38">
        <f t="shared" si="114"/>
        <v>4.9076123518896092E-2</v>
      </c>
      <c r="AL104" s="38">
        <f t="shared" si="114"/>
        <v>4.9076123518896092E-2</v>
      </c>
      <c r="AM104" s="38">
        <f t="shared" si="114"/>
        <v>4.9076123518896092E-2</v>
      </c>
      <c r="AN104" s="38">
        <f t="shared" si="114"/>
        <v>4.9076123518896092E-2</v>
      </c>
    </row>
    <row r="105" spans="1:40" x14ac:dyDescent="0.35">
      <c r="A105" s="236"/>
      <c r="B105" s="236"/>
      <c r="C105" s="1"/>
      <c r="D105" s="1"/>
      <c r="E105" s="17"/>
      <c r="F105" s="17"/>
      <c r="G105" s="17"/>
      <c r="H105" s="17"/>
      <c r="I105" s="17"/>
      <c r="J105" s="17"/>
      <c r="K105" s="36"/>
      <c r="L105" s="17"/>
      <c r="M105" s="18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</row>
    <row r="106" spans="1:40" x14ac:dyDescent="0.35">
      <c r="A106" s="325" t="s">
        <v>33</v>
      </c>
      <c r="B106" s="325"/>
      <c r="C106" s="1"/>
      <c r="D106" s="1"/>
      <c r="E106" s="17">
        <f t="shared" ref="E106:K106" si="115">SUM(E109:E123)</f>
        <v>2515008</v>
      </c>
      <c r="F106" s="17">
        <f t="shared" si="115"/>
        <v>2807177</v>
      </c>
      <c r="G106" s="17">
        <f t="shared" si="115"/>
        <v>2882523</v>
      </c>
      <c r="H106" s="17">
        <f t="shared" si="115"/>
        <v>2890546</v>
      </c>
      <c r="I106" s="17">
        <f t="shared" si="115"/>
        <v>3188522</v>
      </c>
      <c r="J106" s="39">
        <f t="shared" si="115"/>
        <v>3055778</v>
      </c>
      <c r="K106" s="17">
        <f t="shared" si="115"/>
        <v>3097226.74</v>
      </c>
      <c r="L106" s="17">
        <f>SUM(L109:L123)</f>
        <v>3920723</v>
      </c>
      <c r="M106" s="18">
        <f>SUM(M109:M123)</f>
        <v>4411433</v>
      </c>
      <c r="N106" s="17">
        <f>SUM(N109:N123)</f>
        <v>4499661.66</v>
      </c>
      <c r="O106" s="17">
        <f>SUM(O109:O123)</f>
        <v>4589750.732400001</v>
      </c>
      <c r="P106" s="17">
        <f>SUM(P109:P123)</f>
        <v>4681644.4614240006</v>
      </c>
      <c r="Q106" s="17">
        <f t="shared" ref="Q106:AN106" si="116">SUM(Q109:Q123)</f>
        <v>4681644.4614240006</v>
      </c>
      <c r="R106" s="17">
        <f t="shared" si="116"/>
        <v>4681644.4614240006</v>
      </c>
      <c r="S106" s="17">
        <f t="shared" si="116"/>
        <v>4681644.4614240006</v>
      </c>
      <c r="T106" s="17">
        <f t="shared" si="116"/>
        <v>4681644.4614240006</v>
      </c>
      <c r="U106" s="17">
        <f t="shared" si="116"/>
        <v>4681644.4614240006</v>
      </c>
      <c r="V106" s="17">
        <f t="shared" si="116"/>
        <v>4681644.4614240006</v>
      </c>
      <c r="W106" s="17">
        <f t="shared" si="116"/>
        <v>4681644.4614240006</v>
      </c>
      <c r="X106" s="17">
        <f t="shared" si="116"/>
        <v>4681644.4614240006</v>
      </c>
      <c r="Y106" s="17">
        <f t="shared" si="116"/>
        <v>4681644.4614240006</v>
      </c>
      <c r="Z106" s="17">
        <f t="shared" si="116"/>
        <v>4681644.4614240006</v>
      </c>
      <c r="AA106" s="17">
        <f t="shared" si="116"/>
        <v>4681644.4614240006</v>
      </c>
      <c r="AB106" s="17">
        <f t="shared" si="116"/>
        <v>4681644.4614240006</v>
      </c>
      <c r="AC106" s="17">
        <f t="shared" si="116"/>
        <v>4681644.4614240006</v>
      </c>
      <c r="AD106" s="17">
        <f t="shared" si="116"/>
        <v>4681644.4614240006</v>
      </c>
      <c r="AE106" s="17">
        <f t="shared" si="116"/>
        <v>4681644.4614240006</v>
      </c>
      <c r="AF106" s="17">
        <f t="shared" si="116"/>
        <v>4681644.4614240006</v>
      </c>
      <c r="AG106" s="17">
        <f t="shared" si="116"/>
        <v>4681644.4614240006</v>
      </c>
      <c r="AH106" s="17">
        <f t="shared" si="116"/>
        <v>4681644.4614240006</v>
      </c>
      <c r="AI106" s="17">
        <f t="shared" si="116"/>
        <v>4681644.4614240006</v>
      </c>
      <c r="AJ106" s="17">
        <f t="shared" si="116"/>
        <v>4681644.4614240006</v>
      </c>
      <c r="AK106" s="17">
        <f t="shared" si="116"/>
        <v>4681644.4614240006</v>
      </c>
      <c r="AL106" s="17">
        <f t="shared" si="116"/>
        <v>4681644.4614240006</v>
      </c>
      <c r="AM106" s="17">
        <f t="shared" si="116"/>
        <v>4681644.4614240006</v>
      </c>
      <c r="AN106" s="17">
        <f t="shared" si="116"/>
        <v>4681644.4614240006</v>
      </c>
    </row>
    <row r="107" spans="1:40" x14ac:dyDescent="0.35">
      <c r="A107" s="34" t="s">
        <v>34</v>
      </c>
      <c r="B107" s="34"/>
      <c r="C107" s="19"/>
      <c r="D107" s="1"/>
      <c r="E107" s="21">
        <f>E106/E67</f>
        <v>7.2484219097280089E-2</v>
      </c>
      <c r="F107" s="21">
        <f>F106/F67</f>
        <v>7.2869198353856995E-2</v>
      </c>
      <c r="G107" s="21">
        <f>G106/G67</f>
        <v>7.3437028562559792E-2</v>
      </c>
      <c r="H107" s="21">
        <f>H106/H67</f>
        <v>7.0533557065485669E-2</v>
      </c>
      <c r="I107" s="21">
        <f>I106/I67</f>
        <v>6.8228236931397748E-2</v>
      </c>
      <c r="J107" s="21"/>
      <c r="K107" s="21">
        <f t="shared" ref="K107:AN107" si="117">K106/K67</f>
        <v>5.7648036186477417E-2</v>
      </c>
      <c r="L107" s="21">
        <f t="shared" si="117"/>
        <v>7.1769639516107112E-2</v>
      </c>
      <c r="M107" s="265">
        <f t="shared" si="117"/>
        <v>5.8339192243332165E-2</v>
      </c>
      <c r="N107" s="21">
        <f t="shared" si="117"/>
        <v>5.7971063438239427E-2</v>
      </c>
      <c r="O107" s="21">
        <f t="shared" si="117"/>
        <v>5.8320958703500458E-2</v>
      </c>
      <c r="P107" s="21">
        <f t="shared" si="117"/>
        <v>5.7947015646322368E-2</v>
      </c>
      <c r="Q107" s="21">
        <f t="shared" si="117"/>
        <v>5.7947015646322368E-2</v>
      </c>
      <c r="R107" s="21">
        <f t="shared" si="117"/>
        <v>5.7947015646322368E-2</v>
      </c>
      <c r="S107" s="21">
        <f t="shared" si="117"/>
        <v>5.7947015646322368E-2</v>
      </c>
      <c r="T107" s="21">
        <f t="shared" si="117"/>
        <v>5.7947015646322368E-2</v>
      </c>
      <c r="U107" s="21">
        <f t="shared" si="117"/>
        <v>5.7947015646322368E-2</v>
      </c>
      <c r="V107" s="21">
        <f t="shared" si="117"/>
        <v>5.7947015646322368E-2</v>
      </c>
      <c r="W107" s="21">
        <f t="shared" si="117"/>
        <v>5.7947015646322368E-2</v>
      </c>
      <c r="X107" s="21">
        <f t="shared" si="117"/>
        <v>5.7947015646322368E-2</v>
      </c>
      <c r="Y107" s="21">
        <f t="shared" si="117"/>
        <v>5.7947015646322368E-2</v>
      </c>
      <c r="Z107" s="21">
        <f t="shared" si="117"/>
        <v>5.7947015646322368E-2</v>
      </c>
      <c r="AA107" s="21">
        <f t="shared" si="117"/>
        <v>5.7947015646322368E-2</v>
      </c>
      <c r="AB107" s="21">
        <f t="shared" si="117"/>
        <v>5.7947015646322368E-2</v>
      </c>
      <c r="AC107" s="21">
        <f t="shared" si="117"/>
        <v>5.7947015646322368E-2</v>
      </c>
      <c r="AD107" s="21">
        <f t="shared" si="117"/>
        <v>5.7947015646322368E-2</v>
      </c>
      <c r="AE107" s="21">
        <f t="shared" si="117"/>
        <v>5.7947015646322368E-2</v>
      </c>
      <c r="AF107" s="21">
        <f t="shared" si="117"/>
        <v>5.7947015646322368E-2</v>
      </c>
      <c r="AG107" s="21">
        <f t="shared" si="117"/>
        <v>5.7947015646322368E-2</v>
      </c>
      <c r="AH107" s="21">
        <f t="shared" si="117"/>
        <v>5.7947015646322368E-2</v>
      </c>
      <c r="AI107" s="21">
        <f t="shared" si="117"/>
        <v>5.7947015646322368E-2</v>
      </c>
      <c r="AJ107" s="21">
        <f t="shared" si="117"/>
        <v>5.7947015646322368E-2</v>
      </c>
      <c r="AK107" s="21">
        <f t="shared" si="117"/>
        <v>5.7947015646322368E-2</v>
      </c>
      <c r="AL107" s="21">
        <f t="shared" si="117"/>
        <v>5.7947015646322368E-2</v>
      </c>
      <c r="AM107" s="21">
        <f t="shared" si="117"/>
        <v>5.7947015646322368E-2</v>
      </c>
      <c r="AN107" s="21">
        <f t="shared" si="117"/>
        <v>5.7947015646322368E-2</v>
      </c>
    </row>
    <row r="108" spans="1:40" x14ac:dyDescent="0.35">
      <c r="A108" s="236"/>
      <c r="B108" s="236"/>
      <c r="C108" s="1"/>
      <c r="D108" s="1"/>
      <c r="E108" s="17"/>
      <c r="F108" s="17"/>
      <c r="G108" s="17"/>
      <c r="H108" s="17"/>
      <c r="I108" s="17"/>
      <c r="J108" s="1"/>
      <c r="K108" s="17"/>
      <c r="L108" s="17"/>
      <c r="M108" s="18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</row>
    <row r="109" spans="1:40" x14ac:dyDescent="0.35">
      <c r="A109" s="33" t="s">
        <v>35</v>
      </c>
      <c r="B109" s="24"/>
      <c r="C109" s="24"/>
      <c r="D109" s="24"/>
      <c r="E109" s="28">
        <v>51175</v>
      </c>
      <c r="F109" s="28">
        <v>50043</v>
      </c>
      <c r="G109" s="28">
        <v>52705</v>
      </c>
      <c r="H109" s="28">
        <v>36656</v>
      </c>
      <c r="I109" s="28">
        <v>40144</v>
      </c>
      <c r="J109" s="40">
        <v>20615</v>
      </c>
      <c r="K109" s="40">
        <v>23350</v>
      </c>
      <c r="L109" s="28">
        <v>29500</v>
      </c>
      <c r="M109" s="267">
        <v>33924</v>
      </c>
      <c r="N109" s="28">
        <f>M109*1.02</f>
        <v>34602.480000000003</v>
      </c>
      <c r="O109" s="28">
        <f>N109*1.02</f>
        <v>35294.529600000002</v>
      </c>
      <c r="P109" s="28">
        <f t="shared" ref="P109" si="118">O109*1.02</f>
        <v>36000.420192000005</v>
      </c>
      <c r="Q109" s="28">
        <f t="shared" ref="Q109:R114" si="119">P109</f>
        <v>36000.420192000005</v>
      </c>
      <c r="R109" s="28">
        <f t="shared" si="119"/>
        <v>36000.420192000005</v>
      </c>
      <c r="S109" s="28">
        <f t="shared" ref="S109:AN109" si="120">R109</f>
        <v>36000.420192000005</v>
      </c>
      <c r="T109" s="28">
        <f t="shared" si="120"/>
        <v>36000.420192000005</v>
      </c>
      <c r="U109" s="28">
        <f t="shared" si="120"/>
        <v>36000.420192000005</v>
      </c>
      <c r="V109" s="28">
        <f t="shared" si="120"/>
        <v>36000.420192000005</v>
      </c>
      <c r="W109" s="28">
        <f t="shared" si="120"/>
        <v>36000.420192000005</v>
      </c>
      <c r="X109" s="28">
        <f t="shared" si="120"/>
        <v>36000.420192000005</v>
      </c>
      <c r="Y109" s="28">
        <f t="shared" si="120"/>
        <v>36000.420192000005</v>
      </c>
      <c r="Z109" s="28">
        <f t="shared" si="120"/>
        <v>36000.420192000005</v>
      </c>
      <c r="AA109" s="28">
        <f t="shared" si="120"/>
        <v>36000.420192000005</v>
      </c>
      <c r="AB109" s="28">
        <f t="shared" si="120"/>
        <v>36000.420192000005</v>
      </c>
      <c r="AC109" s="28">
        <f t="shared" si="120"/>
        <v>36000.420192000005</v>
      </c>
      <c r="AD109" s="28">
        <f t="shared" si="120"/>
        <v>36000.420192000005</v>
      </c>
      <c r="AE109" s="28">
        <f t="shared" si="120"/>
        <v>36000.420192000005</v>
      </c>
      <c r="AF109" s="28">
        <f t="shared" si="120"/>
        <v>36000.420192000005</v>
      </c>
      <c r="AG109" s="28">
        <f t="shared" si="120"/>
        <v>36000.420192000005</v>
      </c>
      <c r="AH109" s="28">
        <f t="shared" si="120"/>
        <v>36000.420192000005</v>
      </c>
      <c r="AI109" s="28">
        <f t="shared" si="120"/>
        <v>36000.420192000005</v>
      </c>
      <c r="AJ109" s="28">
        <f t="shared" si="120"/>
        <v>36000.420192000005</v>
      </c>
      <c r="AK109" s="28">
        <f t="shared" si="120"/>
        <v>36000.420192000005</v>
      </c>
      <c r="AL109" s="28">
        <f t="shared" si="120"/>
        <v>36000.420192000005</v>
      </c>
      <c r="AM109" s="28">
        <f t="shared" si="120"/>
        <v>36000.420192000005</v>
      </c>
      <c r="AN109" s="28">
        <f t="shared" si="120"/>
        <v>36000.420192000005</v>
      </c>
    </row>
    <row r="110" spans="1:40" x14ac:dyDescent="0.35">
      <c r="A110" s="33" t="s">
        <v>36</v>
      </c>
      <c r="B110" s="24"/>
      <c r="C110" s="70"/>
      <c r="D110" s="24"/>
      <c r="E110" s="28">
        <v>6239</v>
      </c>
      <c r="F110" s="28">
        <v>10117</v>
      </c>
      <c r="G110" s="28">
        <v>10551</v>
      </c>
      <c r="H110" s="28">
        <v>8104</v>
      </c>
      <c r="I110" s="28">
        <v>10186</v>
      </c>
      <c r="J110" s="40">
        <v>3874</v>
      </c>
      <c r="K110" s="40">
        <v>3655</v>
      </c>
      <c r="L110" s="28">
        <v>8173</v>
      </c>
      <c r="M110" s="267">
        <v>9396</v>
      </c>
      <c r="N110" s="28">
        <f t="shared" ref="N110:N123" si="121">M110*1.02</f>
        <v>9583.92</v>
      </c>
      <c r="O110" s="28">
        <f t="shared" ref="O110" si="122">N110*1.03</f>
        <v>9871.4376000000011</v>
      </c>
      <c r="P110" s="28">
        <f t="shared" ref="P110" si="123">O110*1.03</f>
        <v>10167.580728000001</v>
      </c>
      <c r="Q110" s="28">
        <f t="shared" si="119"/>
        <v>10167.580728000001</v>
      </c>
      <c r="R110" s="28">
        <f t="shared" si="119"/>
        <v>10167.580728000001</v>
      </c>
      <c r="S110" s="28">
        <f t="shared" ref="S110:AN110" si="124">R110</f>
        <v>10167.580728000001</v>
      </c>
      <c r="T110" s="28">
        <f t="shared" si="124"/>
        <v>10167.580728000001</v>
      </c>
      <c r="U110" s="28">
        <f t="shared" si="124"/>
        <v>10167.580728000001</v>
      </c>
      <c r="V110" s="28">
        <f t="shared" si="124"/>
        <v>10167.580728000001</v>
      </c>
      <c r="W110" s="28">
        <f t="shared" si="124"/>
        <v>10167.580728000001</v>
      </c>
      <c r="X110" s="28">
        <f t="shared" si="124"/>
        <v>10167.580728000001</v>
      </c>
      <c r="Y110" s="28">
        <f t="shared" si="124"/>
        <v>10167.580728000001</v>
      </c>
      <c r="Z110" s="28">
        <f t="shared" si="124"/>
        <v>10167.580728000001</v>
      </c>
      <c r="AA110" s="28">
        <f t="shared" si="124"/>
        <v>10167.580728000001</v>
      </c>
      <c r="AB110" s="28">
        <f t="shared" si="124"/>
        <v>10167.580728000001</v>
      </c>
      <c r="AC110" s="28">
        <f t="shared" si="124"/>
        <v>10167.580728000001</v>
      </c>
      <c r="AD110" s="28">
        <f t="shared" si="124"/>
        <v>10167.580728000001</v>
      </c>
      <c r="AE110" s="28">
        <f t="shared" si="124"/>
        <v>10167.580728000001</v>
      </c>
      <c r="AF110" s="28">
        <f t="shared" si="124"/>
        <v>10167.580728000001</v>
      </c>
      <c r="AG110" s="28">
        <f t="shared" si="124"/>
        <v>10167.580728000001</v>
      </c>
      <c r="AH110" s="28">
        <f t="shared" si="124"/>
        <v>10167.580728000001</v>
      </c>
      <c r="AI110" s="28">
        <f t="shared" si="124"/>
        <v>10167.580728000001</v>
      </c>
      <c r="AJ110" s="28">
        <f t="shared" si="124"/>
        <v>10167.580728000001</v>
      </c>
      <c r="AK110" s="28">
        <f t="shared" si="124"/>
        <v>10167.580728000001</v>
      </c>
      <c r="AL110" s="28">
        <f t="shared" si="124"/>
        <v>10167.580728000001</v>
      </c>
      <c r="AM110" s="28">
        <f t="shared" si="124"/>
        <v>10167.580728000001</v>
      </c>
      <c r="AN110" s="28">
        <f t="shared" si="124"/>
        <v>10167.580728000001</v>
      </c>
    </row>
    <row r="111" spans="1:40" x14ac:dyDescent="0.35">
      <c r="A111" s="351" t="s">
        <v>37</v>
      </c>
      <c r="B111" s="351"/>
      <c r="C111" s="70"/>
      <c r="D111" s="24"/>
      <c r="E111" s="28">
        <v>2266429</v>
      </c>
      <c r="F111" s="28">
        <v>2254243</v>
      </c>
      <c r="G111" s="28">
        <v>2220994</v>
      </c>
      <c r="H111" s="28">
        <v>2275623</v>
      </c>
      <c r="I111" s="28">
        <v>2654542</v>
      </c>
      <c r="J111" s="41">
        <v>2353356</v>
      </c>
      <c r="K111" s="40">
        <v>2458266</v>
      </c>
      <c r="L111" s="28">
        <v>3089706</v>
      </c>
      <c r="M111" s="267">
        <v>3455777</v>
      </c>
      <c r="N111" s="28">
        <f t="shared" si="121"/>
        <v>3524892.54</v>
      </c>
      <c r="O111" s="28">
        <f t="shared" ref="O111:O123" si="125">N111*1.02</f>
        <v>3595390.3908000002</v>
      </c>
      <c r="P111" s="28">
        <f t="shared" ref="P111:P123" si="126">O111*1.02</f>
        <v>3667298.1986160004</v>
      </c>
      <c r="Q111" s="28">
        <f t="shared" si="119"/>
        <v>3667298.1986160004</v>
      </c>
      <c r="R111" s="28">
        <f t="shared" si="119"/>
        <v>3667298.1986160004</v>
      </c>
      <c r="S111" s="28">
        <f t="shared" ref="S111:AN111" si="127">R111</f>
        <v>3667298.1986160004</v>
      </c>
      <c r="T111" s="28">
        <f t="shared" si="127"/>
        <v>3667298.1986160004</v>
      </c>
      <c r="U111" s="28">
        <f t="shared" si="127"/>
        <v>3667298.1986160004</v>
      </c>
      <c r="V111" s="28">
        <f t="shared" si="127"/>
        <v>3667298.1986160004</v>
      </c>
      <c r="W111" s="28">
        <f t="shared" si="127"/>
        <v>3667298.1986160004</v>
      </c>
      <c r="X111" s="28">
        <f t="shared" si="127"/>
        <v>3667298.1986160004</v>
      </c>
      <c r="Y111" s="28">
        <f t="shared" si="127"/>
        <v>3667298.1986160004</v>
      </c>
      <c r="Z111" s="28">
        <f t="shared" si="127"/>
        <v>3667298.1986160004</v>
      </c>
      <c r="AA111" s="28">
        <f t="shared" si="127"/>
        <v>3667298.1986160004</v>
      </c>
      <c r="AB111" s="28">
        <f t="shared" si="127"/>
        <v>3667298.1986160004</v>
      </c>
      <c r="AC111" s="28">
        <f t="shared" si="127"/>
        <v>3667298.1986160004</v>
      </c>
      <c r="AD111" s="28">
        <f t="shared" si="127"/>
        <v>3667298.1986160004</v>
      </c>
      <c r="AE111" s="28">
        <f t="shared" si="127"/>
        <v>3667298.1986160004</v>
      </c>
      <c r="AF111" s="28">
        <f t="shared" si="127"/>
        <v>3667298.1986160004</v>
      </c>
      <c r="AG111" s="28">
        <f t="shared" si="127"/>
        <v>3667298.1986160004</v>
      </c>
      <c r="AH111" s="28">
        <f t="shared" si="127"/>
        <v>3667298.1986160004</v>
      </c>
      <c r="AI111" s="28">
        <f t="shared" si="127"/>
        <v>3667298.1986160004</v>
      </c>
      <c r="AJ111" s="28">
        <f t="shared" si="127"/>
        <v>3667298.1986160004</v>
      </c>
      <c r="AK111" s="28">
        <f t="shared" si="127"/>
        <v>3667298.1986160004</v>
      </c>
      <c r="AL111" s="28">
        <f t="shared" si="127"/>
        <v>3667298.1986160004</v>
      </c>
      <c r="AM111" s="28">
        <f t="shared" si="127"/>
        <v>3667298.1986160004</v>
      </c>
      <c r="AN111" s="28">
        <f t="shared" si="127"/>
        <v>3667298.1986160004</v>
      </c>
    </row>
    <row r="112" spans="1:40" x14ac:dyDescent="0.35">
      <c r="A112" s="33" t="s">
        <v>38</v>
      </c>
      <c r="B112" s="24"/>
      <c r="C112" s="24"/>
      <c r="D112" s="24"/>
      <c r="E112" s="28">
        <v>3420</v>
      </c>
      <c r="F112" s="28">
        <v>3097</v>
      </c>
      <c r="G112" s="28">
        <v>3407</v>
      </c>
      <c r="H112" s="28">
        <v>3078</v>
      </c>
      <c r="I112" s="28">
        <v>4155</v>
      </c>
      <c r="J112" s="42">
        <v>4577</v>
      </c>
      <c r="K112" s="28">
        <v>3805.97</v>
      </c>
      <c r="L112" s="28">
        <v>3900</v>
      </c>
      <c r="M112" s="267">
        <v>4200</v>
      </c>
      <c r="N112" s="28">
        <f t="shared" si="121"/>
        <v>4284</v>
      </c>
      <c r="O112" s="28">
        <f t="shared" si="125"/>
        <v>4369.68</v>
      </c>
      <c r="P112" s="28">
        <f t="shared" si="126"/>
        <v>4457.0736000000006</v>
      </c>
      <c r="Q112" s="28">
        <f t="shared" si="119"/>
        <v>4457.0736000000006</v>
      </c>
      <c r="R112" s="28">
        <f t="shared" si="119"/>
        <v>4457.0736000000006</v>
      </c>
      <c r="S112" s="28">
        <f t="shared" ref="S112:AN112" si="128">R112</f>
        <v>4457.0736000000006</v>
      </c>
      <c r="T112" s="28">
        <f t="shared" si="128"/>
        <v>4457.0736000000006</v>
      </c>
      <c r="U112" s="28">
        <f t="shared" si="128"/>
        <v>4457.0736000000006</v>
      </c>
      <c r="V112" s="28">
        <f t="shared" si="128"/>
        <v>4457.0736000000006</v>
      </c>
      <c r="W112" s="28">
        <f t="shared" si="128"/>
        <v>4457.0736000000006</v>
      </c>
      <c r="X112" s="28">
        <f t="shared" si="128"/>
        <v>4457.0736000000006</v>
      </c>
      <c r="Y112" s="28">
        <f t="shared" si="128"/>
        <v>4457.0736000000006</v>
      </c>
      <c r="Z112" s="28">
        <f t="shared" si="128"/>
        <v>4457.0736000000006</v>
      </c>
      <c r="AA112" s="28">
        <f t="shared" si="128"/>
        <v>4457.0736000000006</v>
      </c>
      <c r="AB112" s="28">
        <f t="shared" si="128"/>
        <v>4457.0736000000006</v>
      </c>
      <c r="AC112" s="28">
        <f t="shared" si="128"/>
        <v>4457.0736000000006</v>
      </c>
      <c r="AD112" s="28">
        <f t="shared" si="128"/>
        <v>4457.0736000000006</v>
      </c>
      <c r="AE112" s="28">
        <f t="shared" si="128"/>
        <v>4457.0736000000006</v>
      </c>
      <c r="AF112" s="28">
        <f t="shared" si="128"/>
        <v>4457.0736000000006</v>
      </c>
      <c r="AG112" s="28">
        <f t="shared" si="128"/>
        <v>4457.0736000000006</v>
      </c>
      <c r="AH112" s="28">
        <f t="shared" si="128"/>
        <v>4457.0736000000006</v>
      </c>
      <c r="AI112" s="28">
        <f t="shared" si="128"/>
        <v>4457.0736000000006</v>
      </c>
      <c r="AJ112" s="28">
        <f t="shared" si="128"/>
        <v>4457.0736000000006</v>
      </c>
      <c r="AK112" s="28">
        <f t="shared" si="128"/>
        <v>4457.0736000000006</v>
      </c>
      <c r="AL112" s="28">
        <f t="shared" si="128"/>
        <v>4457.0736000000006</v>
      </c>
      <c r="AM112" s="28">
        <f t="shared" si="128"/>
        <v>4457.0736000000006</v>
      </c>
      <c r="AN112" s="28">
        <f t="shared" si="128"/>
        <v>4457.0736000000006</v>
      </c>
    </row>
    <row r="113" spans="1:40" x14ac:dyDescent="0.35">
      <c r="A113" s="33" t="s">
        <v>39</v>
      </c>
      <c r="B113" s="24"/>
      <c r="C113" s="24"/>
      <c r="D113" s="24"/>
      <c r="E113" s="28">
        <v>10515</v>
      </c>
      <c r="F113" s="28">
        <v>10601</v>
      </c>
      <c r="G113" s="28">
        <v>10601</v>
      </c>
      <c r="H113" s="28">
        <v>10601</v>
      </c>
      <c r="I113" s="28">
        <v>10601</v>
      </c>
      <c r="J113" s="42">
        <v>45315</v>
      </c>
      <c r="K113" s="28">
        <v>45316.37</v>
      </c>
      <c r="L113" s="28">
        <v>45316</v>
      </c>
      <c r="M113" s="267">
        <v>48000</v>
      </c>
      <c r="N113" s="28">
        <f t="shared" si="121"/>
        <v>48960</v>
      </c>
      <c r="O113" s="28">
        <f t="shared" si="125"/>
        <v>49939.200000000004</v>
      </c>
      <c r="P113" s="28">
        <f t="shared" si="126"/>
        <v>50937.984000000004</v>
      </c>
      <c r="Q113" s="28">
        <f t="shared" si="119"/>
        <v>50937.984000000004</v>
      </c>
      <c r="R113" s="28">
        <f t="shared" si="119"/>
        <v>50937.984000000004</v>
      </c>
      <c r="S113" s="28">
        <f t="shared" ref="S113:AN113" si="129">R113</f>
        <v>50937.984000000004</v>
      </c>
      <c r="T113" s="28">
        <f t="shared" si="129"/>
        <v>50937.984000000004</v>
      </c>
      <c r="U113" s="28">
        <f t="shared" si="129"/>
        <v>50937.984000000004</v>
      </c>
      <c r="V113" s="28">
        <f t="shared" si="129"/>
        <v>50937.984000000004</v>
      </c>
      <c r="W113" s="28">
        <f t="shared" si="129"/>
        <v>50937.984000000004</v>
      </c>
      <c r="X113" s="28">
        <f t="shared" si="129"/>
        <v>50937.984000000004</v>
      </c>
      <c r="Y113" s="28">
        <f t="shared" si="129"/>
        <v>50937.984000000004</v>
      </c>
      <c r="Z113" s="28">
        <f t="shared" si="129"/>
        <v>50937.984000000004</v>
      </c>
      <c r="AA113" s="28">
        <f t="shared" si="129"/>
        <v>50937.984000000004</v>
      </c>
      <c r="AB113" s="28">
        <f t="shared" si="129"/>
        <v>50937.984000000004</v>
      </c>
      <c r="AC113" s="28">
        <f t="shared" si="129"/>
        <v>50937.984000000004</v>
      </c>
      <c r="AD113" s="28">
        <f t="shared" si="129"/>
        <v>50937.984000000004</v>
      </c>
      <c r="AE113" s="28">
        <f t="shared" si="129"/>
        <v>50937.984000000004</v>
      </c>
      <c r="AF113" s="28">
        <f t="shared" si="129"/>
        <v>50937.984000000004</v>
      </c>
      <c r="AG113" s="28">
        <f t="shared" si="129"/>
        <v>50937.984000000004</v>
      </c>
      <c r="AH113" s="28">
        <f t="shared" si="129"/>
        <v>50937.984000000004</v>
      </c>
      <c r="AI113" s="28">
        <f t="shared" si="129"/>
        <v>50937.984000000004</v>
      </c>
      <c r="AJ113" s="28">
        <f t="shared" si="129"/>
        <v>50937.984000000004</v>
      </c>
      <c r="AK113" s="28">
        <f t="shared" si="129"/>
        <v>50937.984000000004</v>
      </c>
      <c r="AL113" s="28">
        <f t="shared" si="129"/>
        <v>50937.984000000004</v>
      </c>
      <c r="AM113" s="28">
        <f t="shared" si="129"/>
        <v>50937.984000000004</v>
      </c>
      <c r="AN113" s="28">
        <f t="shared" si="129"/>
        <v>50937.984000000004</v>
      </c>
    </row>
    <row r="114" spans="1:40" x14ac:dyDescent="0.35">
      <c r="A114" s="33" t="s">
        <v>40</v>
      </c>
      <c r="B114" s="24"/>
      <c r="C114" s="24"/>
      <c r="D114" s="24"/>
      <c r="E114" s="28">
        <v>2535</v>
      </c>
      <c r="F114" s="28">
        <v>3494</v>
      </c>
      <c r="G114" s="28">
        <v>4136</v>
      </c>
      <c r="H114" s="28">
        <v>4447</v>
      </c>
      <c r="I114" s="28">
        <v>4221</v>
      </c>
      <c r="J114" s="42">
        <v>6956</v>
      </c>
      <c r="K114" s="28">
        <v>6478.73</v>
      </c>
      <c r="L114" s="28">
        <v>5463</v>
      </c>
      <c r="M114" s="267">
        <v>10680</v>
      </c>
      <c r="N114" s="28">
        <f t="shared" si="121"/>
        <v>10893.6</v>
      </c>
      <c r="O114" s="28">
        <f t="shared" si="125"/>
        <v>11111.472</v>
      </c>
      <c r="P114" s="28">
        <f t="shared" si="126"/>
        <v>11333.701440000001</v>
      </c>
      <c r="Q114" s="28">
        <f t="shared" si="119"/>
        <v>11333.701440000001</v>
      </c>
      <c r="R114" s="28">
        <f t="shared" si="119"/>
        <v>11333.701440000001</v>
      </c>
      <c r="S114" s="28">
        <f t="shared" ref="S114:AN114" si="130">R114</f>
        <v>11333.701440000001</v>
      </c>
      <c r="T114" s="28">
        <f t="shared" si="130"/>
        <v>11333.701440000001</v>
      </c>
      <c r="U114" s="28">
        <f t="shared" si="130"/>
        <v>11333.701440000001</v>
      </c>
      <c r="V114" s="28">
        <f t="shared" si="130"/>
        <v>11333.701440000001</v>
      </c>
      <c r="W114" s="28">
        <f t="shared" si="130"/>
        <v>11333.701440000001</v>
      </c>
      <c r="X114" s="28">
        <f t="shared" si="130"/>
        <v>11333.701440000001</v>
      </c>
      <c r="Y114" s="28">
        <f t="shared" si="130"/>
        <v>11333.701440000001</v>
      </c>
      <c r="Z114" s="28">
        <f t="shared" si="130"/>
        <v>11333.701440000001</v>
      </c>
      <c r="AA114" s="28">
        <f t="shared" si="130"/>
        <v>11333.701440000001</v>
      </c>
      <c r="AB114" s="28">
        <f t="shared" si="130"/>
        <v>11333.701440000001</v>
      </c>
      <c r="AC114" s="28">
        <f t="shared" si="130"/>
        <v>11333.701440000001</v>
      </c>
      <c r="AD114" s="28">
        <f t="shared" si="130"/>
        <v>11333.701440000001</v>
      </c>
      <c r="AE114" s="28">
        <f t="shared" si="130"/>
        <v>11333.701440000001</v>
      </c>
      <c r="AF114" s="28">
        <f t="shared" si="130"/>
        <v>11333.701440000001</v>
      </c>
      <c r="AG114" s="28">
        <f t="shared" si="130"/>
        <v>11333.701440000001</v>
      </c>
      <c r="AH114" s="28">
        <f t="shared" si="130"/>
        <v>11333.701440000001</v>
      </c>
      <c r="AI114" s="28">
        <f t="shared" si="130"/>
        <v>11333.701440000001</v>
      </c>
      <c r="AJ114" s="28">
        <f t="shared" si="130"/>
        <v>11333.701440000001</v>
      </c>
      <c r="AK114" s="28">
        <f t="shared" si="130"/>
        <v>11333.701440000001</v>
      </c>
      <c r="AL114" s="28">
        <f t="shared" si="130"/>
        <v>11333.701440000001</v>
      </c>
      <c r="AM114" s="28">
        <f t="shared" si="130"/>
        <v>11333.701440000001</v>
      </c>
      <c r="AN114" s="28">
        <f t="shared" si="130"/>
        <v>11333.701440000001</v>
      </c>
    </row>
    <row r="115" spans="1:40" x14ac:dyDescent="0.35">
      <c r="A115" s="43" t="s">
        <v>41</v>
      </c>
      <c r="B115" s="24"/>
      <c r="C115" s="24"/>
      <c r="D115" s="24"/>
      <c r="E115" s="28">
        <v>2084</v>
      </c>
      <c r="F115" s="28">
        <v>120</v>
      </c>
      <c r="G115" s="28">
        <v>1081</v>
      </c>
      <c r="H115" s="28">
        <v>41</v>
      </c>
      <c r="I115" s="28">
        <v>15</v>
      </c>
      <c r="J115" s="42">
        <v>5189</v>
      </c>
      <c r="K115" s="28">
        <v>66810.98</v>
      </c>
      <c r="L115" s="28"/>
      <c r="M115" s="267"/>
      <c r="N115" s="28">
        <f t="shared" si="121"/>
        <v>0</v>
      </c>
      <c r="O115" s="28">
        <f t="shared" si="125"/>
        <v>0</v>
      </c>
      <c r="P115" s="28">
        <f t="shared" si="126"/>
        <v>0</v>
      </c>
      <c r="Q115" s="28">
        <f t="shared" ref="Q115:Q122" si="131">P115*1.02</f>
        <v>0</v>
      </c>
      <c r="R115" s="28">
        <f t="shared" ref="R115:R122" si="132">Q115*1.01</f>
        <v>0</v>
      </c>
      <c r="S115" s="28">
        <f t="shared" ref="S115:S117" si="133">R115*1.01</f>
        <v>0</v>
      </c>
      <c r="T115" s="28">
        <f t="shared" ref="T115:T117" si="134">S115*1.01</f>
        <v>0</v>
      </c>
      <c r="U115" s="28">
        <f t="shared" ref="U115:U117" si="135">T115*1.01</f>
        <v>0</v>
      </c>
      <c r="V115" s="28">
        <f t="shared" ref="V115:V117" si="136">U115*1.01</f>
        <v>0</v>
      </c>
      <c r="W115" s="28">
        <f t="shared" ref="W115:W117" si="137">V115*1.01</f>
        <v>0</v>
      </c>
      <c r="X115" s="28">
        <f t="shared" ref="X115:X117" si="138">W115*1.01</f>
        <v>0</v>
      </c>
      <c r="Y115" s="28">
        <f t="shared" ref="Y115:Y117" si="139">X115*1.01</f>
        <v>0</v>
      </c>
      <c r="Z115" s="28">
        <f t="shared" ref="Z115:Z117" si="140">Y115*1.01</f>
        <v>0</v>
      </c>
      <c r="AA115" s="28">
        <f t="shared" ref="AA115:AA117" si="141">Z115*1.01</f>
        <v>0</v>
      </c>
      <c r="AB115" s="28">
        <f t="shared" ref="AB115:AB117" si="142">AA115*1.01</f>
        <v>0</v>
      </c>
      <c r="AC115" s="28">
        <f t="shared" ref="AC115:AC117" si="143">AB115*1.01</f>
        <v>0</v>
      </c>
      <c r="AD115" s="28">
        <f t="shared" ref="AD115:AD117" si="144">AC115*1.01</f>
        <v>0</v>
      </c>
      <c r="AE115" s="28">
        <f t="shared" ref="AE115:AE117" si="145">AD115*1.01</f>
        <v>0</v>
      </c>
      <c r="AF115" s="28">
        <f t="shared" ref="AF115:AF117" si="146">AE115*1.01</f>
        <v>0</v>
      </c>
      <c r="AG115" s="28">
        <f t="shared" ref="AG115:AG117" si="147">AF115*1.01</f>
        <v>0</v>
      </c>
      <c r="AH115" s="28">
        <f t="shared" ref="AH115:AH117" si="148">AG115*1.01</f>
        <v>0</v>
      </c>
      <c r="AI115" s="28">
        <f t="shared" ref="AI115:AI117" si="149">AH115*1.01</f>
        <v>0</v>
      </c>
      <c r="AJ115" s="28">
        <f t="shared" ref="AJ115:AJ117" si="150">AI115*1.01</f>
        <v>0</v>
      </c>
      <c r="AK115" s="28">
        <f t="shared" ref="AK115:AK117" si="151">AJ115*1.01</f>
        <v>0</v>
      </c>
      <c r="AL115" s="28">
        <f t="shared" ref="AL115:AL117" si="152">AK115*1.01</f>
        <v>0</v>
      </c>
      <c r="AM115" s="28">
        <f t="shared" ref="AM115:AM117" si="153">AL115*1.01</f>
        <v>0</v>
      </c>
      <c r="AN115" s="28">
        <f t="shared" ref="AN115:AN117" si="154">AM115*1.01</f>
        <v>0</v>
      </c>
    </row>
    <row r="116" spans="1:40" x14ac:dyDescent="0.35">
      <c r="A116" s="43" t="s">
        <v>42</v>
      </c>
      <c r="B116" s="24"/>
      <c r="C116" s="24"/>
      <c r="D116" s="24"/>
      <c r="E116" s="28">
        <v>856</v>
      </c>
      <c r="F116" s="28">
        <v>111</v>
      </c>
      <c r="G116" s="28">
        <v>1172</v>
      </c>
      <c r="H116" s="28">
        <v>1182</v>
      </c>
      <c r="I116" s="28">
        <v>1421</v>
      </c>
      <c r="J116" s="42">
        <v>2526</v>
      </c>
      <c r="K116" s="28">
        <v>2870.88</v>
      </c>
      <c r="L116" s="28"/>
      <c r="M116" s="267"/>
      <c r="N116" s="28">
        <f t="shared" si="121"/>
        <v>0</v>
      </c>
      <c r="O116" s="28">
        <f t="shared" si="125"/>
        <v>0</v>
      </c>
      <c r="P116" s="28">
        <f t="shared" si="126"/>
        <v>0</v>
      </c>
      <c r="Q116" s="28">
        <f t="shared" si="131"/>
        <v>0</v>
      </c>
      <c r="R116" s="28">
        <f t="shared" si="132"/>
        <v>0</v>
      </c>
      <c r="S116" s="28">
        <f t="shared" si="133"/>
        <v>0</v>
      </c>
      <c r="T116" s="28">
        <f t="shared" si="134"/>
        <v>0</v>
      </c>
      <c r="U116" s="28">
        <f t="shared" si="135"/>
        <v>0</v>
      </c>
      <c r="V116" s="28">
        <f t="shared" si="136"/>
        <v>0</v>
      </c>
      <c r="W116" s="28">
        <f t="shared" si="137"/>
        <v>0</v>
      </c>
      <c r="X116" s="28">
        <f t="shared" si="138"/>
        <v>0</v>
      </c>
      <c r="Y116" s="28">
        <f t="shared" si="139"/>
        <v>0</v>
      </c>
      <c r="Z116" s="28">
        <f t="shared" si="140"/>
        <v>0</v>
      </c>
      <c r="AA116" s="28">
        <f t="shared" si="141"/>
        <v>0</v>
      </c>
      <c r="AB116" s="28">
        <f t="shared" si="142"/>
        <v>0</v>
      </c>
      <c r="AC116" s="28">
        <f t="shared" si="143"/>
        <v>0</v>
      </c>
      <c r="AD116" s="28">
        <f t="shared" si="144"/>
        <v>0</v>
      </c>
      <c r="AE116" s="28">
        <f t="shared" si="145"/>
        <v>0</v>
      </c>
      <c r="AF116" s="28">
        <f t="shared" si="146"/>
        <v>0</v>
      </c>
      <c r="AG116" s="28">
        <f t="shared" si="147"/>
        <v>0</v>
      </c>
      <c r="AH116" s="28">
        <f t="shared" si="148"/>
        <v>0</v>
      </c>
      <c r="AI116" s="28">
        <f t="shared" si="149"/>
        <v>0</v>
      </c>
      <c r="AJ116" s="28">
        <f t="shared" si="150"/>
        <v>0</v>
      </c>
      <c r="AK116" s="28">
        <f t="shared" si="151"/>
        <v>0</v>
      </c>
      <c r="AL116" s="28">
        <f t="shared" si="152"/>
        <v>0</v>
      </c>
      <c r="AM116" s="28">
        <f t="shared" si="153"/>
        <v>0</v>
      </c>
      <c r="AN116" s="28">
        <f t="shared" si="154"/>
        <v>0</v>
      </c>
    </row>
    <row r="117" spans="1:40" x14ac:dyDescent="0.35">
      <c r="A117" s="43" t="s">
        <v>43</v>
      </c>
      <c r="B117" s="24"/>
      <c r="C117" s="24"/>
      <c r="D117" s="24"/>
      <c r="E117" s="28">
        <v>2006</v>
      </c>
      <c r="F117" s="28">
        <v>39</v>
      </c>
      <c r="G117" s="28">
        <v>2</v>
      </c>
      <c r="H117" s="28">
        <v>40</v>
      </c>
      <c r="I117" s="28">
        <v>0</v>
      </c>
      <c r="J117" s="42">
        <v>0</v>
      </c>
      <c r="K117" s="28">
        <v>0</v>
      </c>
      <c r="L117" s="28"/>
      <c r="M117" s="267"/>
      <c r="N117" s="28">
        <f t="shared" si="121"/>
        <v>0</v>
      </c>
      <c r="O117" s="28">
        <f t="shared" si="125"/>
        <v>0</v>
      </c>
      <c r="P117" s="28">
        <f t="shared" si="126"/>
        <v>0</v>
      </c>
      <c r="Q117" s="28">
        <f t="shared" si="131"/>
        <v>0</v>
      </c>
      <c r="R117" s="28">
        <f t="shared" si="132"/>
        <v>0</v>
      </c>
      <c r="S117" s="28">
        <f t="shared" si="133"/>
        <v>0</v>
      </c>
      <c r="T117" s="28">
        <f t="shared" si="134"/>
        <v>0</v>
      </c>
      <c r="U117" s="28">
        <f t="shared" si="135"/>
        <v>0</v>
      </c>
      <c r="V117" s="28">
        <f t="shared" si="136"/>
        <v>0</v>
      </c>
      <c r="W117" s="28">
        <f t="shared" si="137"/>
        <v>0</v>
      </c>
      <c r="X117" s="28">
        <f t="shared" si="138"/>
        <v>0</v>
      </c>
      <c r="Y117" s="28">
        <f t="shared" si="139"/>
        <v>0</v>
      </c>
      <c r="Z117" s="28">
        <f t="shared" si="140"/>
        <v>0</v>
      </c>
      <c r="AA117" s="28">
        <f t="shared" si="141"/>
        <v>0</v>
      </c>
      <c r="AB117" s="28">
        <f t="shared" si="142"/>
        <v>0</v>
      </c>
      <c r="AC117" s="28">
        <f t="shared" si="143"/>
        <v>0</v>
      </c>
      <c r="AD117" s="28">
        <f t="shared" si="144"/>
        <v>0</v>
      </c>
      <c r="AE117" s="28">
        <f t="shared" si="145"/>
        <v>0</v>
      </c>
      <c r="AF117" s="28">
        <f t="shared" si="146"/>
        <v>0</v>
      </c>
      <c r="AG117" s="28">
        <f t="shared" si="147"/>
        <v>0</v>
      </c>
      <c r="AH117" s="28">
        <f t="shared" si="148"/>
        <v>0</v>
      </c>
      <c r="AI117" s="28">
        <f t="shared" si="149"/>
        <v>0</v>
      </c>
      <c r="AJ117" s="28">
        <f t="shared" si="150"/>
        <v>0</v>
      </c>
      <c r="AK117" s="28">
        <f t="shared" si="151"/>
        <v>0</v>
      </c>
      <c r="AL117" s="28">
        <f t="shared" si="152"/>
        <v>0</v>
      </c>
      <c r="AM117" s="28">
        <f t="shared" si="153"/>
        <v>0</v>
      </c>
      <c r="AN117" s="28">
        <f t="shared" si="154"/>
        <v>0</v>
      </c>
    </row>
    <row r="118" spans="1:40" x14ac:dyDescent="0.35">
      <c r="A118" s="43" t="s">
        <v>44</v>
      </c>
      <c r="B118" s="24"/>
      <c r="C118" s="24"/>
      <c r="D118" s="24"/>
      <c r="E118" s="28">
        <v>12478</v>
      </c>
      <c r="F118" s="28">
        <v>15521</v>
      </c>
      <c r="G118" s="28">
        <v>14738</v>
      </c>
      <c r="H118" s="28">
        <v>19076</v>
      </c>
      <c r="I118" s="28">
        <v>21638</v>
      </c>
      <c r="J118" s="42">
        <v>24099</v>
      </c>
      <c r="K118" s="28">
        <v>0</v>
      </c>
      <c r="L118" s="28">
        <v>15635</v>
      </c>
      <c r="M118" s="267">
        <v>17976</v>
      </c>
      <c r="N118" s="28">
        <f t="shared" si="121"/>
        <v>18335.52</v>
      </c>
      <c r="O118" s="28">
        <f t="shared" si="125"/>
        <v>18702.2304</v>
      </c>
      <c r="P118" s="28">
        <f t="shared" si="126"/>
        <v>19076.275008000001</v>
      </c>
      <c r="Q118" s="28">
        <f>P118</f>
        <v>19076.275008000001</v>
      </c>
      <c r="R118" s="28">
        <f>Q118</f>
        <v>19076.275008000001</v>
      </c>
      <c r="S118" s="28">
        <f t="shared" ref="S118:AN118" si="155">R118</f>
        <v>19076.275008000001</v>
      </c>
      <c r="T118" s="28">
        <f t="shared" si="155"/>
        <v>19076.275008000001</v>
      </c>
      <c r="U118" s="28">
        <f t="shared" si="155"/>
        <v>19076.275008000001</v>
      </c>
      <c r="V118" s="28">
        <f t="shared" si="155"/>
        <v>19076.275008000001</v>
      </c>
      <c r="W118" s="28">
        <f t="shared" si="155"/>
        <v>19076.275008000001</v>
      </c>
      <c r="X118" s="28">
        <f t="shared" si="155"/>
        <v>19076.275008000001</v>
      </c>
      <c r="Y118" s="28">
        <f t="shared" si="155"/>
        <v>19076.275008000001</v>
      </c>
      <c r="Z118" s="28">
        <f t="shared" si="155"/>
        <v>19076.275008000001</v>
      </c>
      <c r="AA118" s="28">
        <f t="shared" si="155"/>
        <v>19076.275008000001</v>
      </c>
      <c r="AB118" s="28">
        <f t="shared" si="155"/>
        <v>19076.275008000001</v>
      </c>
      <c r="AC118" s="28">
        <f t="shared" si="155"/>
        <v>19076.275008000001</v>
      </c>
      <c r="AD118" s="28">
        <f t="shared" si="155"/>
        <v>19076.275008000001</v>
      </c>
      <c r="AE118" s="28">
        <f t="shared" si="155"/>
        <v>19076.275008000001</v>
      </c>
      <c r="AF118" s="28">
        <f t="shared" si="155"/>
        <v>19076.275008000001</v>
      </c>
      <c r="AG118" s="28">
        <f t="shared" si="155"/>
        <v>19076.275008000001</v>
      </c>
      <c r="AH118" s="28">
        <f t="shared" si="155"/>
        <v>19076.275008000001</v>
      </c>
      <c r="AI118" s="28">
        <f t="shared" si="155"/>
        <v>19076.275008000001</v>
      </c>
      <c r="AJ118" s="28">
        <f t="shared" si="155"/>
        <v>19076.275008000001</v>
      </c>
      <c r="AK118" s="28">
        <f t="shared" si="155"/>
        <v>19076.275008000001</v>
      </c>
      <c r="AL118" s="28">
        <f t="shared" si="155"/>
        <v>19076.275008000001</v>
      </c>
      <c r="AM118" s="28">
        <f t="shared" si="155"/>
        <v>19076.275008000001</v>
      </c>
      <c r="AN118" s="28">
        <f t="shared" si="155"/>
        <v>19076.275008000001</v>
      </c>
    </row>
    <row r="119" spans="1:40" x14ac:dyDescent="0.35">
      <c r="A119" s="43" t="s">
        <v>45</v>
      </c>
      <c r="B119" s="24"/>
      <c r="C119" s="24"/>
      <c r="D119" s="24"/>
      <c r="E119" s="28">
        <v>209</v>
      </c>
      <c r="F119" s="28">
        <v>8</v>
      </c>
      <c r="G119" s="28">
        <v>37</v>
      </c>
      <c r="H119" s="28">
        <v>7</v>
      </c>
      <c r="I119" s="28">
        <v>240</v>
      </c>
      <c r="J119" s="42">
        <v>1032</v>
      </c>
      <c r="K119" s="28">
        <v>40.93</v>
      </c>
      <c r="L119" s="28"/>
      <c r="M119" s="267"/>
      <c r="N119" s="28">
        <f t="shared" si="121"/>
        <v>0</v>
      </c>
      <c r="O119" s="28">
        <f t="shared" si="125"/>
        <v>0</v>
      </c>
      <c r="P119" s="28">
        <f t="shared" si="126"/>
        <v>0</v>
      </c>
      <c r="Q119" s="28">
        <f t="shared" si="131"/>
        <v>0</v>
      </c>
      <c r="R119" s="28">
        <f t="shared" si="132"/>
        <v>0</v>
      </c>
      <c r="S119" s="28">
        <f t="shared" ref="S119:S122" si="156">R119*1.01</f>
        <v>0</v>
      </c>
      <c r="T119" s="28">
        <f t="shared" ref="T119:T122" si="157">S119*1.01</f>
        <v>0</v>
      </c>
      <c r="U119" s="28">
        <f t="shared" ref="U119:U122" si="158">T119*1.01</f>
        <v>0</v>
      </c>
      <c r="V119" s="28">
        <f t="shared" ref="V119:V122" si="159">U119*1.01</f>
        <v>0</v>
      </c>
      <c r="W119" s="28">
        <f t="shared" ref="W119:W122" si="160">V119*1.01</f>
        <v>0</v>
      </c>
      <c r="X119" s="28">
        <f t="shared" ref="X119:X122" si="161">W119*1.01</f>
        <v>0</v>
      </c>
      <c r="Y119" s="28">
        <f t="shared" ref="Y119:Y122" si="162">X119*1.01</f>
        <v>0</v>
      </c>
      <c r="Z119" s="28">
        <f t="shared" ref="Z119:Z122" si="163">Y119*1.01</f>
        <v>0</v>
      </c>
      <c r="AA119" s="28">
        <f t="shared" ref="AA119:AA122" si="164">Z119*1.01</f>
        <v>0</v>
      </c>
      <c r="AB119" s="28">
        <f t="shared" ref="AB119:AB122" si="165">AA119*1.01</f>
        <v>0</v>
      </c>
      <c r="AC119" s="28">
        <f t="shared" ref="AC119:AC122" si="166">AB119*1.01</f>
        <v>0</v>
      </c>
      <c r="AD119" s="28">
        <f t="shared" ref="AD119:AD122" si="167">AC119*1.01</f>
        <v>0</v>
      </c>
      <c r="AE119" s="28">
        <f t="shared" ref="AE119:AE122" si="168">AD119*1.01</f>
        <v>0</v>
      </c>
      <c r="AF119" s="28">
        <f t="shared" ref="AF119:AF122" si="169">AE119*1.01</f>
        <v>0</v>
      </c>
      <c r="AG119" s="28">
        <f t="shared" ref="AG119:AG122" si="170">AF119*1.01</f>
        <v>0</v>
      </c>
      <c r="AH119" s="28">
        <f t="shared" ref="AH119:AH122" si="171">AG119*1.01</f>
        <v>0</v>
      </c>
      <c r="AI119" s="28">
        <f t="shared" ref="AI119:AI122" si="172">AH119*1.01</f>
        <v>0</v>
      </c>
      <c r="AJ119" s="28">
        <f t="shared" ref="AJ119:AJ122" si="173">AI119*1.01</f>
        <v>0</v>
      </c>
      <c r="AK119" s="28">
        <f t="shared" ref="AK119:AK122" si="174">AJ119*1.01</f>
        <v>0</v>
      </c>
      <c r="AL119" s="28">
        <f t="shared" ref="AL119:AL122" si="175">AK119*1.01</f>
        <v>0</v>
      </c>
      <c r="AM119" s="28">
        <f t="shared" ref="AM119:AM122" si="176">AL119*1.01</f>
        <v>0</v>
      </c>
      <c r="AN119" s="28">
        <f t="shared" ref="AN119:AN122" si="177">AM119*1.01</f>
        <v>0</v>
      </c>
    </row>
    <row r="120" spans="1:40" x14ac:dyDescent="0.35">
      <c r="A120" s="43" t="s">
        <v>46</v>
      </c>
      <c r="B120" s="24"/>
      <c r="C120" s="24"/>
      <c r="D120" s="24"/>
      <c r="E120" s="28">
        <v>6198</v>
      </c>
      <c r="F120" s="28">
        <v>2260</v>
      </c>
      <c r="G120" s="28">
        <v>2155</v>
      </c>
      <c r="H120" s="28">
        <v>1040</v>
      </c>
      <c r="I120" s="28">
        <v>1300</v>
      </c>
      <c r="J120" s="42">
        <v>113082</v>
      </c>
      <c r="K120" s="28">
        <v>57822.879999999997</v>
      </c>
      <c r="L120" s="28"/>
      <c r="M120" s="267"/>
      <c r="N120" s="28">
        <f t="shared" si="121"/>
        <v>0</v>
      </c>
      <c r="O120" s="28">
        <f t="shared" si="125"/>
        <v>0</v>
      </c>
      <c r="P120" s="28">
        <f t="shared" si="126"/>
        <v>0</v>
      </c>
      <c r="Q120" s="28">
        <f t="shared" si="131"/>
        <v>0</v>
      </c>
      <c r="R120" s="28">
        <f t="shared" si="132"/>
        <v>0</v>
      </c>
      <c r="S120" s="28">
        <f t="shared" si="156"/>
        <v>0</v>
      </c>
      <c r="T120" s="28">
        <f t="shared" si="157"/>
        <v>0</v>
      </c>
      <c r="U120" s="28">
        <f t="shared" si="158"/>
        <v>0</v>
      </c>
      <c r="V120" s="28">
        <f t="shared" si="159"/>
        <v>0</v>
      </c>
      <c r="W120" s="28">
        <f t="shared" si="160"/>
        <v>0</v>
      </c>
      <c r="X120" s="28">
        <f t="shared" si="161"/>
        <v>0</v>
      </c>
      <c r="Y120" s="28">
        <f t="shared" si="162"/>
        <v>0</v>
      </c>
      <c r="Z120" s="28">
        <f t="shared" si="163"/>
        <v>0</v>
      </c>
      <c r="AA120" s="28">
        <f t="shared" si="164"/>
        <v>0</v>
      </c>
      <c r="AB120" s="28">
        <f t="shared" si="165"/>
        <v>0</v>
      </c>
      <c r="AC120" s="28">
        <f t="shared" si="166"/>
        <v>0</v>
      </c>
      <c r="AD120" s="28">
        <f t="shared" si="167"/>
        <v>0</v>
      </c>
      <c r="AE120" s="28">
        <f t="shared" si="168"/>
        <v>0</v>
      </c>
      <c r="AF120" s="28">
        <f t="shared" si="169"/>
        <v>0</v>
      </c>
      <c r="AG120" s="28">
        <f t="shared" si="170"/>
        <v>0</v>
      </c>
      <c r="AH120" s="28">
        <f t="shared" si="171"/>
        <v>0</v>
      </c>
      <c r="AI120" s="28">
        <f t="shared" si="172"/>
        <v>0</v>
      </c>
      <c r="AJ120" s="28">
        <f t="shared" si="173"/>
        <v>0</v>
      </c>
      <c r="AK120" s="28">
        <f t="shared" si="174"/>
        <v>0</v>
      </c>
      <c r="AL120" s="28">
        <f t="shared" si="175"/>
        <v>0</v>
      </c>
      <c r="AM120" s="28">
        <f t="shared" si="176"/>
        <v>0</v>
      </c>
      <c r="AN120" s="28">
        <f t="shared" si="177"/>
        <v>0</v>
      </c>
    </row>
    <row r="121" spans="1:40" x14ac:dyDescent="0.35">
      <c r="A121" s="43" t="s">
        <v>47</v>
      </c>
      <c r="B121" s="24"/>
      <c r="C121" s="24"/>
      <c r="D121" s="24"/>
      <c r="E121" s="28">
        <v>0</v>
      </c>
      <c r="F121" s="28">
        <v>0</v>
      </c>
      <c r="G121" s="28">
        <v>0</v>
      </c>
      <c r="H121" s="28">
        <v>0</v>
      </c>
      <c r="I121" s="28">
        <v>0</v>
      </c>
      <c r="J121" s="42">
        <v>0</v>
      </c>
      <c r="K121" s="28">
        <v>0</v>
      </c>
      <c r="L121" s="28"/>
      <c r="M121" s="267"/>
      <c r="N121" s="28">
        <f t="shared" si="121"/>
        <v>0</v>
      </c>
      <c r="O121" s="28">
        <f t="shared" si="125"/>
        <v>0</v>
      </c>
      <c r="P121" s="28">
        <f t="shared" si="126"/>
        <v>0</v>
      </c>
      <c r="Q121" s="28">
        <f t="shared" si="131"/>
        <v>0</v>
      </c>
      <c r="R121" s="28">
        <f t="shared" si="132"/>
        <v>0</v>
      </c>
      <c r="S121" s="28">
        <f t="shared" si="156"/>
        <v>0</v>
      </c>
      <c r="T121" s="28">
        <f t="shared" si="157"/>
        <v>0</v>
      </c>
      <c r="U121" s="28">
        <f t="shared" si="158"/>
        <v>0</v>
      </c>
      <c r="V121" s="28">
        <f t="shared" si="159"/>
        <v>0</v>
      </c>
      <c r="W121" s="28">
        <f t="shared" si="160"/>
        <v>0</v>
      </c>
      <c r="X121" s="28">
        <f t="shared" si="161"/>
        <v>0</v>
      </c>
      <c r="Y121" s="28">
        <f t="shared" si="162"/>
        <v>0</v>
      </c>
      <c r="Z121" s="28">
        <f t="shared" si="163"/>
        <v>0</v>
      </c>
      <c r="AA121" s="28">
        <f t="shared" si="164"/>
        <v>0</v>
      </c>
      <c r="AB121" s="28">
        <f t="shared" si="165"/>
        <v>0</v>
      </c>
      <c r="AC121" s="28">
        <f t="shared" si="166"/>
        <v>0</v>
      </c>
      <c r="AD121" s="28">
        <f t="shared" si="167"/>
        <v>0</v>
      </c>
      <c r="AE121" s="28">
        <f t="shared" si="168"/>
        <v>0</v>
      </c>
      <c r="AF121" s="28">
        <f t="shared" si="169"/>
        <v>0</v>
      </c>
      <c r="AG121" s="28">
        <f t="shared" si="170"/>
        <v>0</v>
      </c>
      <c r="AH121" s="28">
        <f t="shared" si="171"/>
        <v>0</v>
      </c>
      <c r="AI121" s="28">
        <f t="shared" si="172"/>
        <v>0</v>
      </c>
      <c r="AJ121" s="28">
        <f t="shared" si="173"/>
        <v>0</v>
      </c>
      <c r="AK121" s="28">
        <f t="shared" si="174"/>
        <v>0</v>
      </c>
      <c r="AL121" s="28">
        <f t="shared" si="175"/>
        <v>0</v>
      </c>
      <c r="AM121" s="28">
        <f t="shared" si="176"/>
        <v>0</v>
      </c>
      <c r="AN121" s="28">
        <f t="shared" si="177"/>
        <v>0</v>
      </c>
    </row>
    <row r="122" spans="1:40" x14ac:dyDescent="0.35">
      <c r="A122" s="43" t="s">
        <v>48</v>
      </c>
      <c r="B122" s="24"/>
      <c r="C122" s="24"/>
      <c r="D122" s="24"/>
      <c r="E122" s="28">
        <v>0</v>
      </c>
      <c r="F122" s="28">
        <v>0</v>
      </c>
      <c r="G122" s="28">
        <v>0</v>
      </c>
      <c r="H122" s="28">
        <v>0</v>
      </c>
      <c r="I122" s="28">
        <v>0</v>
      </c>
      <c r="J122" s="42">
        <v>0</v>
      </c>
      <c r="K122" s="28">
        <v>0</v>
      </c>
      <c r="L122" s="28"/>
      <c r="M122" s="267"/>
      <c r="N122" s="28">
        <f t="shared" si="121"/>
        <v>0</v>
      </c>
      <c r="O122" s="28">
        <f t="shared" si="125"/>
        <v>0</v>
      </c>
      <c r="P122" s="28">
        <f t="shared" si="126"/>
        <v>0</v>
      </c>
      <c r="Q122" s="28">
        <f t="shared" si="131"/>
        <v>0</v>
      </c>
      <c r="R122" s="28">
        <f t="shared" si="132"/>
        <v>0</v>
      </c>
      <c r="S122" s="28">
        <f t="shared" si="156"/>
        <v>0</v>
      </c>
      <c r="T122" s="28">
        <f t="shared" si="157"/>
        <v>0</v>
      </c>
      <c r="U122" s="28">
        <f t="shared" si="158"/>
        <v>0</v>
      </c>
      <c r="V122" s="28">
        <f t="shared" si="159"/>
        <v>0</v>
      </c>
      <c r="W122" s="28">
        <f t="shared" si="160"/>
        <v>0</v>
      </c>
      <c r="X122" s="28">
        <f t="shared" si="161"/>
        <v>0</v>
      </c>
      <c r="Y122" s="28">
        <f t="shared" si="162"/>
        <v>0</v>
      </c>
      <c r="Z122" s="28">
        <f t="shared" si="163"/>
        <v>0</v>
      </c>
      <c r="AA122" s="28">
        <f t="shared" si="164"/>
        <v>0</v>
      </c>
      <c r="AB122" s="28">
        <f t="shared" si="165"/>
        <v>0</v>
      </c>
      <c r="AC122" s="28">
        <f t="shared" si="166"/>
        <v>0</v>
      </c>
      <c r="AD122" s="28">
        <f t="shared" si="167"/>
        <v>0</v>
      </c>
      <c r="AE122" s="28">
        <f t="shared" si="168"/>
        <v>0</v>
      </c>
      <c r="AF122" s="28">
        <f t="shared" si="169"/>
        <v>0</v>
      </c>
      <c r="AG122" s="28">
        <f t="shared" si="170"/>
        <v>0</v>
      </c>
      <c r="AH122" s="28">
        <f t="shared" si="171"/>
        <v>0</v>
      </c>
      <c r="AI122" s="28">
        <f t="shared" si="172"/>
        <v>0</v>
      </c>
      <c r="AJ122" s="28">
        <f t="shared" si="173"/>
        <v>0</v>
      </c>
      <c r="AK122" s="28">
        <f t="shared" si="174"/>
        <v>0</v>
      </c>
      <c r="AL122" s="28">
        <f t="shared" si="175"/>
        <v>0</v>
      </c>
      <c r="AM122" s="28">
        <f t="shared" si="176"/>
        <v>0</v>
      </c>
      <c r="AN122" s="28">
        <f t="shared" si="177"/>
        <v>0</v>
      </c>
    </row>
    <row r="123" spans="1:40" x14ac:dyDescent="0.35">
      <c r="A123" s="44" t="s">
        <v>49</v>
      </c>
      <c r="B123" s="24"/>
      <c r="C123" s="24"/>
      <c r="D123" s="24"/>
      <c r="E123" s="28">
        <v>150864</v>
      </c>
      <c r="F123" s="28">
        <v>457523</v>
      </c>
      <c r="G123" s="28">
        <v>560944</v>
      </c>
      <c r="H123" s="28">
        <v>530651</v>
      </c>
      <c r="I123" s="28">
        <v>440059</v>
      </c>
      <c r="J123" s="42">
        <v>475157</v>
      </c>
      <c r="K123" s="28">
        <v>428809</v>
      </c>
      <c r="L123" s="28">
        <v>723030</v>
      </c>
      <c r="M123" s="267">
        <v>831480</v>
      </c>
      <c r="N123" s="28">
        <f t="shared" si="121"/>
        <v>848109.6</v>
      </c>
      <c r="O123" s="28">
        <f t="shared" si="125"/>
        <v>865071.79200000002</v>
      </c>
      <c r="P123" s="28">
        <f t="shared" si="126"/>
        <v>882373.22784000007</v>
      </c>
      <c r="Q123" s="28">
        <f>P123</f>
        <v>882373.22784000007</v>
      </c>
      <c r="R123" s="28">
        <f>Q123</f>
        <v>882373.22784000007</v>
      </c>
      <c r="S123" s="28">
        <f t="shared" ref="S123:AN123" si="178">R123</f>
        <v>882373.22784000007</v>
      </c>
      <c r="T123" s="28">
        <f t="shared" si="178"/>
        <v>882373.22784000007</v>
      </c>
      <c r="U123" s="28">
        <f t="shared" si="178"/>
        <v>882373.22784000007</v>
      </c>
      <c r="V123" s="28">
        <f t="shared" si="178"/>
        <v>882373.22784000007</v>
      </c>
      <c r="W123" s="28">
        <f t="shared" si="178"/>
        <v>882373.22784000007</v>
      </c>
      <c r="X123" s="28">
        <f t="shared" si="178"/>
        <v>882373.22784000007</v>
      </c>
      <c r="Y123" s="28">
        <f t="shared" si="178"/>
        <v>882373.22784000007</v>
      </c>
      <c r="Z123" s="28">
        <f t="shared" si="178"/>
        <v>882373.22784000007</v>
      </c>
      <c r="AA123" s="28">
        <f t="shared" si="178"/>
        <v>882373.22784000007</v>
      </c>
      <c r="AB123" s="28">
        <f t="shared" si="178"/>
        <v>882373.22784000007</v>
      </c>
      <c r="AC123" s="28">
        <f t="shared" si="178"/>
        <v>882373.22784000007</v>
      </c>
      <c r="AD123" s="28">
        <f t="shared" si="178"/>
        <v>882373.22784000007</v>
      </c>
      <c r="AE123" s="28">
        <f t="shared" si="178"/>
        <v>882373.22784000007</v>
      </c>
      <c r="AF123" s="28">
        <f t="shared" si="178"/>
        <v>882373.22784000007</v>
      </c>
      <c r="AG123" s="28">
        <f t="shared" si="178"/>
        <v>882373.22784000007</v>
      </c>
      <c r="AH123" s="28">
        <f t="shared" si="178"/>
        <v>882373.22784000007</v>
      </c>
      <c r="AI123" s="28">
        <f t="shared" si="178"/>
        <v>882373.22784000007</v>
      </c>
      <c r="AJ123" s="28">
        <f t="shared" si="178"/>
        <v>882373.22784000007</v>
      </c>
      <c r="AK123" s="28">
        <f t="shared" si="178"/>
        <v>882373.22784000007</v>
      </c>
      <c r="AL123" s="28">
        <f t="shared" si="178"/>
        <v>882373.22784000007</v>
      </c>
      <c r="AM123" s="28">
        <f t="shared" si="178"/>
        <v>882373.22784000007</v>
      </c>
      <c r="AN123" s="28">
        <f t="shared" si="178"/>
        <v>882373.22784000007</v>
      </c>
    </row>
    <row r="124" spans="1:40" ht="15" thickBot="1" x14ac:dyDescent="0.4">
      <c r="A124" s="71"/>
      <c r="B124" s="71"/>
      <c r="C124" s="71"/>
      <c r="D124" s="71"/>
      <c r="E124" s="71"/>
      <c r="F124" s="71"/>
      <c r="G124" s="71"/>
      <c r="H124" s="71"/>
      <c r="I124" s="71"/>
      <c r="J124" s="71"/>
      <c r="K124" s="71"/>
      <c r="L124" s="72"/>
      <c r="M124" s="269"/>
      <c r="N124" s="72"/>
      <c r="O124" s="72"/>
      <c r="P124" s="72"/>
      <c r="Q124" s="72"/>
      <c r="R124" s="72"/>
      <c r="S124" s="72"/>
      <c r="T124" s="72"/>
      <c r="U124" s="72"/>
      <c r="V124" s="72"/>
      <c r="W124" s="72"/>
      <c r="X124" s="72"/>
      <c r="Y124" s="72"/>
      <c r="Z124" s="72"/>
      <c r="AA124" s="72"/>
      <c r="AB124" s="72"/>
      <c r="AC124" s="72"/>
      <c r="AD124" s="72"/>
      <c r="AE124" s="72"/>
      <c r="AF124" s="72"/>
      <c r="AG124" s="72"/>
      <c r="AH124" s="72"/>
      <c r="AI124" s="72"/>
      <c r="AJ124" s="72"/>
      <c r="AK124" s="72"/>
      <c r="AL124" s="72"/>
      <c r="AM124" s="72"/>
      <c r="AN124" s="72"/>
    </row>
    <row r="125" spans="1:40" s="86" customFormat="1" ht="15.5" thickTop="1" thickBot="1" x14ac:dyDescent="0.4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</row>
    <row r="126" spans="1:40" ht="18.5" thickTop="1" x14ac:dyDescent="0.35">
      <c r="A126" s="352" t="s">
        <v>139</v>
      </c>
      <c r="B126" s="352"/>
      <c r="C126" s="352"/>
      <c r="D126" s="352"/>
      <c r="E126" s="352"/>
      <c r="F126" s="9"/>
      <c r="G126" s="9"/>
      <c r="H126" s="9"/>
      <c r="I126" s="9"/>
      <c r="J126" s="9"/>
      <c r="K126" s="9"/>
      <c r="L126" s="212"/>
      <c r="M126" s="212"/>
      <c r="N126" s="212"/>
      <c r="O126" s="212"/>
      <c r="P126" s="212"/>
      <c r="Q126" s="212"/>
      <c r="R126" s="212"/>
      <c r="S126" s="212"/>
      <c r="T126" s="212"/>
      <c r="U126" s="212"/>
      <c r="V126" s="212"/>
      <c r="W126" s="212"/>
      <c r="X126" s="212"/>
      <c r="Y126" s="212"/>
      <c r="Z126" s="212"/>
      <c r="AA126" s="212"/>
      <c r="AB126" s="212"/>
      <c r="AC126" s="212"/>
      <c r="AD126" s="212"/>
      <c r="AE126" s="212"/>
      <c r="AF126" s="212"/>
      <c r="AG126" s="212"/>
      <c r="AH126" s="212"/>
      <c r="AI126" s="212"/>
      <c r="AJ126" s="212"/>
      <c r="AK126" s="212"/>
      <c r="AL126" s="212"/>
      <c r="AM126" s="212"/>
      <c r="AN126" s="212"/>
    </row>
    <row r="127" spans="1:40" x14ac:dyDescent="0.35">
      <c r="A127" s="5"/>
      <c r="B127" s="5"/>
      <c r="C127" s="5"/>
      <c r="D127" s="5"/>
      <c r="E127" s="6">
        <v>2015</v>
      </c>
      <c r="F127" s="6">
        <v>2016</v>
      </c>
      <c r="G127" s="6">
        <v>2017</v>
      </c>
      <c r="H127" s="6">
        <v>2018</v>
      </c>
      <c r="I127" s="6">
        <v>2019</v>
      </c>
      <c r="J127" s="6">
        <v>2020</v>
      </c>
      <c r="K127" s="6">
        <v>2021</v>
      </c>
      <c r="L127" s="7">
        <v>2022</v>
      </c>
      <c r="M127" s="7">
        <v>2023</v>
      </c>
      <c r="N127" s="7">
        <v>2024</v>
      </c>
      <c r="O127" s="7">
        <v>2025</v>
      </c>
      <c r="P127" s="7">
        <v>2026</v>
      </c>
      <c r="Q127" s="7">
        <v>2027</v>
      </c>
      <c r="R127" s="7">
        <v>2028</v>
      </c>
      <c r="S127" s="7">
        <v>2029</v>
      </c>
      <c r="T127" s="7">
        <v>2030</v>
      </c>
      <c r="U127" s="7">
        <v>2031</v>
      </c>
      <c r="V127" s="7">
        <v>2032</v>
      </c>
      <c r="W127" s="7">
        <v>2033</v>
      </c>
      <c r="X127" s="7">
        <v>2034</v>
      </c>
      <c r="Y127" s="7">
        <v>2035</v>
      </c>
      <c r="Z127" s="7">
        <v>2036</v>
      </c>
      <c r="AA127" s="7">
        <v>2037</v>
      </c>
      <c r="AB127" s="7">
        <v>2038</v>
      </c>
      <c r="AC127" s="7">
        <v>2039</v>
      </c>
      <c r="AD127" s="7">
        <v>2040</v>
      </c>
      <c r="AE127" s="7">
        <v>2041</v>
      </c>
      <c r="AF127" s="7">
        <v>2042</v>
      </c>
      <c r="AG127" s="7">
        <v>2043</v>
      </c>
      <c r="AH127" s="7">
        <v>2044</v>
      </c>
      <c r="AI127" s="7">
        <v>2045</v>
      </c>
      <c r="AJ127" s="7">
        <v>2046</v>
      </c>
      <c r="AK127" s="7">
        <v>2047</v>
      </c>
      <c r="AL127" s="7">
        <v>2048</v>
      </c>
      <c r="AM127" s="7">
        <v>2049</v>
      </c>
      <c r="AN127" s="7">
        <v>2050</v>
      </c>
    </row>
    <row r="128" spans="1:40" x14ac:dyDescent="0.35">
      <c r="A128" s="81" t="s">
        <v>8</v>
      </c>
      <c r="B128" s="81"/>
      <c r="C128" s="9"/>
      <c r="D128" s="9"/>
      <c r="E128" s="10">
        <f t="shared" ref="E128:J128" si="179">E136+E149+E152+E161+E164+E167</f>
        <v>34697318</v>
      </c>
      <c r="F128" s="10">
        <f t="shared" si="179"/>
        <v>38523506</v>
      </c>
      <c r="G128" s="10">
        <f t="shared" si="179"/>
        <v>39251629</v>
      </c>
      <c r="H128" s="10">
        <f t="shared" si="179"/>
        <v>40981146</v>
      </c>
      <c r="I128" s="10">
        <f t="shared" si="179"/>
        <v>46733173</v>
      </c>
      <c r="J128" s="10">
        <f t="shared" si="179"/>
        <v>47203579</v>
      </c>
      <c r="K128" s="10">
        <f t="shared" ref="K128:P128" si="180">K136++K149+K152+K161+K164+K167</f>
        <v>53726491.950000003</v>
      </c>
      <c r="L128" s="10">
        <f t="shared" si="180"/>
        <v>54629269.792000003</v>
      </c>
      <c r="M128" s="10">
        <f t="shared" si="180"/>
        <v>75616970.862399995</v>
      </c>
      <c r="N128" s="10">
        <f t="shared" si="180"/>
        <v>73354627.456799999</v>
      </c>
      <c r="O128" s="10">
        <f t="shared" si="180"/>
        <v>75357522.854136005</v>
      </c>
      <c r="P128" s="10">
        <f t="shared" si="180"/>
        <v>77379244.352886707</v>
      </c>
      <c r="Q128" s="10">
        <f t="shared" ref="Q128:AN128" si="181">Q136++Q149+Q152+Q161+Q164+Q167</f>
        <v>76497189.104311317</v>
      </c>
      <c r="R128" s="10">
        <f t="shared" si="181"/>
        <v>75583940.86868988</v>
      </c>
      <c r="S128" s="10">
        <f t="shared" si="181"/>
        <v>75583940.86868988</v>
      </c>
      <c r="T128" s="10">
        <f t="shared" si="181"/>
        <v>75583940.86868988</v>
      </c>
      <c r="U128" s="10">
        <f t="shared" si="181"/>
        <v>75583940.86868988</v>
      </c>
      <c r="V128" s="10">
        <f t="shared" si="181"/>
        <v>75583940.86868988</v>
      </c>
      <c r="W128" s="10">
        <f t="shared" si="181"/>
        <v>75583940.86868988</v>
      </c>
      <c r="X128" s="10">
        <f t="shared" si="181"/>
        <v>75583940.86868988</v>
      </c>
      <c r="Y128" s="10">
        <f t="shared" si="181"/>
        <v>75583940.86868988</v>
      </c>
      <c r="Z128" s="10">
        <f t="shared" si="181"/>
        <v>75583940.86868988</v>
      </c>
      <c r="AA128" s="10">
        <f t="shared" si="181"/>
        <v>75583940.86868988</v>
      </c>
      <c r="AB128" s="10">
        <f t="shared" si="181"/>
        <v>75583940.86868988</v>
      </c>
      <c r="AC128" s="10">
        <f t="shared" si="181"/>
        <v>75583940.86868988</v>
      </c>
      <c r="AD128" s="10">
        <f t="shared" si="181"/>
        <v>75583940.86868988</v>
      </c>
      <c r="AE128" s="10">
        <f t="shared" si="181"/>
        <v>75583940.86868988</v>
      </c>
      <c r="AF128" s="10">
        <f t="shared" si="181"/>
        <v>75583940.86868988</v>
      </c>
      <c r="AG128" s="10">
        <f t="shared" si="181"/>
        <v>75583940.86868988</v>
      </c>
      <c r="AH128" s="10">
        <f t="shared" si="181"/>
        <v>75583940.86868988</v>
      </c>
      <c r="AI128" s="10">
        <f t="shared" si="181"/>
        <v>75583940.86868988</v>
      </c>
      <c r="AJ128" s="10">
        <f t="shared" si="181"/>
        <v>75583940.86868988</v>
      </c>
      <c r="AK128" s="10">
        <f t="shared" si="181"/>
        <v>75583940.86868988</v>
      </c>
      <c r="AL128" s="10">
        <f t="shared" si="181"/>
        <v>75583940.86868988</v>
      </c>
      <c r="AM128" s="10">
        <f t="shared" si="181"/>
        <v>75583940.86868988</v>
      </c>
      <c r="AN128" s="10">
        <f t="shared" si="181"/>
        <v>75583940.86868988</v>
      </c>
    </row>
    <row r="129" spans="1:40" s="3" customFormat="1" ht="14" x14ac:dyDescent="0.3">
      <c r="A129" s="353" t="s">
        <v>152</v>
      </c>
      <c r="B129" s="353"/>
      <c r="C129" s="353"/>
      <c r="E129" s="58"/>
      <c r="F129" s="15">
        <f t="shared" ref="F129" si="182">(F128-E128)/E128</f>
        <v>0.11027330700315223</v>
      </c>
      <c r="G129" s="15">
        <f t="shared" ref="G129" si="183">(G128-F128)/F128</f>
        <v>1.890074594975857E-2</v>
      </c>
      <c r="H129" s="15">
        <f t="shared" ref="H129" si="184">(H128-G128)/G128</f>
        <v>4.4062298662814733E-2</v>
      </c>
      <c r="I129" s="15">
        <f t="shared" ref="I129" si="185">(I128-H128)/H128</f>
        <v>0.14035788555058953</v>
      </c>
      <c r="J129" s="15">
        <f t="shared" ref="J129" si="186">(J128-I128)/I128</f>
        <v>1.006578346392187E-2</v>
      </c>
      <c r="K129" s="15">
        <f t="shared" ref="K129" si="187">(K128-J128)/J128</f>
        <v>0.1381868300706606</v>
      </c>
      <c r="L129" s="15">
        <f t="shared" ref="L129" si="188">(L128-K128)/K128</f>
        <v>1.6803215866767571E-2</v>
      </c>
      <c r="M129" s="15">
        <f t="shared" ref="M129" si="189">(M128-L128)/L128</f>
        <v>0.38418417727914539</v>
      </c>
      <c r="N129" s="15">
        <f t="shared" ref="N129" si="190">(N128-M128)/M128</f>
        <v>-2.9918461157572376E-2</v>
      </c>
      <c r="O129" s="15">
        <f t="shared" ref="O129" si="191">(O128-N128)/N128</f>
        <v>2.7304281499017237E-2</v>
      </c>
      <c r="P129" s="15">
        <f t="shared" ref="P129" si="192">(P128-O128)/O128</f>
        <v>2.6828396451725179E-2</v>
      </c>
      <c r="Q129" s="15">
        <f t="shared" ref="Q129" si="193">(Q128-P128)/P128</f>
        <v>-1.1399119440257025E-2</v>
      </c>
      <c r="R129" s="15">
        <f t="shared" ref="R129" si="194">(R128-Q128)/Q128</f>
        <v>-1.1938324091570673E-2</v>
      </c>
      <c r="S129" s="15">
        <f t="shared" ref="S129" si="195">(S128-R128)/R128</f>
        <v>0</v>
      </c>
      <c r="T129" s="15">
        <f t="shared" ref="T129" si="196">(T128-S128)/S128</f>
        <v>0</v>
      </c>
      <c r="U129" s="15">
        <f t="shared" ref="U129" si="197">(U128-T128)/T128</f>
        <v>0</v>
      </c>
      <c r="V129" s="15">
        <f t="shared" ref="V129" si="198">(V128-U128)/U128</f>
        <v>0</v>
      </c>
      <c r="W129" s="15">
        <f t="shared" ref="W129" si="199">(W128-V128)/V128</f>
        <v>0</v>
      </c>
      <c r="X129" s="15">
        <f t="shared" ref="X129" si="200">(X128-W128)/W128</f>
        <v>0</v>
      </c>
      <c r="Y129" s="15">
        <f t="shared" ref="Y129" si="201">(Y128-X128)/X128</f>
        <v>0</v>
      </c>
      <c r="Z129" s="15">
        <f t="shared" ref="Z129" si="202">(Z128-Y128)/Y128</f>
        <v>0</v>
      </c>
      <c r="AA129" s="15">
        <f t="shared" ref="AA129" si="203">(AA128-Z128)/Z128</f>
        <v>0</v>
      </c>
      <c r="AB129" s="15">
        <f t="shared" ref="AB129" si="204">(AB128-AA128)/AA128</f>
        <v>0</v>
      </c>
      <c r="AC129" s="15">
        <f t="shared" ref="AC129" si="205">(AC128-AB128)/AB128</f>
        <v>0</v>
      </c>
      <c r="AD129" s="15">
        <f t="shared" ref="AD129" si="206">(AD128-AC128)/AC128</f>
        <v>0</v>
      </c>
      <c r="AE129" s="15">
        <f t="shared" ref="AE129" si="207">(AE128-AD128)/AD128</f>
        <v>0</v>
      </c>
      <c r="AF129" s="15">
        <f t="shared" ref="AF129" si="208">(AF128-AE128)/AE128</f>
        <v>0</v>
      </c>
      <c r="AG129" s="15">
        <f t="shared" ref="AG129" si="209">(AG128-AF128)/AF128</f>
        <v>0</v>
      </c>
      <c r="AH129" s="15">
        <f t="shared" ref="AH129" si="210">(AH128-AG128)/AG128</f>
        <v>0</v>
      </c>
      <c r="AI129" s="15">
        <f t="shared" ref="AI129" si="211">(AI128-AH128)/AH128</f>
        <v>0</v>
      </c>
      <c r="AJ129" s="15">
        <f t="shared" ref="AJ129" si="212">(AJ128-AI128)/AI128</f>
        <v>0</v>
      </c>
      <c r="AK129" s="15">
        <f t="shared" ref="AK129" si="213">(AK128-AJ128)/AJ128</f>
        <v>0</v>
      </c>
      <c r="AL129" s="15">
        <f t="shared" ref="AL129" si="214">(AL128-AK128)/AK128</f>
        <v>0</v>
      </c>
      <c r="AM129" s="15">
        <f t="shared" ref="AM129" si="215">(AM128-AL128)/AL128</f>
        <v>0</v>
      </c>
      <c r="AN129" s="15">
        <f t="shared" ref="AN129" si="216">(AN128-AM128)/AM128</f>
        <v>0</v>
      </c>
    </row>
    <row r="130" spans="1:40" s="3" customFormat="1" ht="14" x14ac:dyDescent="0.3">
      <c r="A130" s="248"/>
      <c r="B130" s="248"/>
      <c r="C130" s="248"/>
      <c r="E130" s="58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</row>
    <row r="131" spans="1:40" s="3" customFormat="1" ht="14" x14ac:dyDescent="0.3">
      <c r="A131" s="253" t="s">
        <v>153</v>
      </c>
      <c r="B131" s="253"/>
      <c r="C131" s="253"/>
      <c r="D131" s="250" t="s">
        <v>154</v>
      </c>
      <c r="E131" s="254">
        <f>((E132*[1]Rekonštrukcia!B35)+(E133*[1]Rekonštrukcia!B54))+E134</f>
        <v>34697318</v>
      </c>
      <c r="F131" s="254">
        <f>((F132*[1]Rekonštrukcia!C35)+(F133*[1]Rekonštrukcia!C54))+F134</f>
        <v>38523506</v>
      </c>
      <c r="G131" s="254">
        <f>((G132*[1]Rekonštrukcia!D35)+(G133*[1]Rekonštrukcia!D54))+G134</f>
        <v>39251629</v>
      </c>
      <c r="H131" s="254">
        <f>((H132*[1]Rekonštrukcia!E35)+(H133*[1]Rekonštrukcia!E54))+H134</f>
        <v>40981146</v>
      </c>
      <c r="I131" s="254">
        <f>((I132*[1]Rekonštrukcia!F35)+(I133*[1]Rekonštrukcia!F54))+I134</f>
        <v>46733173</v>
      </c>
      <c r="J131" s="254">
        <f>((J132*[1]Rekonštrukcia!G35)+(J133*[1]Rekonštrukcia!G54))+J134</f>
        <v>47203579</v>
      </c>
      <c r="K131" s="254">
        <f>((K132*[1]Rekonštrukcia!H35)+(K133*[1]Rekonštrukcia!H54))+K134</f>
        <v>53726491.95000001</v>
      </c>
      <c r="L131" s="254">
        <f>((L132*[1]Rekonštrukcia!I35)+(L133*[1]Rekonštrukcia!I54))+L134</f>
        <v>54629269.792000003</v>
      </c>
      <c r="M131" s="254">
        <f>((M132*[1]Rekonštrukcia!J35)+(M133*[1]Rekonštrukcia!J54))+M134</f>
        <v>75616970.862399995</v>
      </c>
      <c r="N131" s="254">
        <f>((N132*[1]Rekonštrukcia!K35)+(N133*[1]Rekonštrukcia!K54))+N134</f>
        <v>73354627.456799999</v>
      </c>
      <c r="O131" s="254">
        <f>((O132*[1]Rekonštrukcia!L35)+(O133*[1]Rekonštrukcia!L54))+O134</f>
        <v>75357522.85413602</v>
      </c>
      <c r="P131" s="254">
        <f>((P132*[1]Rekonštrukcia!M35)+(P133*[1]Rekonštrukcia!M54))+P134</f>
        <v>77379244.352886707</v>
      </c>
      <c r="Q131" s="254">
        <f>((Q132*[1]Rekonštrukcia!N35)+(Q133*[1]Rekonštrukcia!N54))+Q134</f>
        <v>76497189.104311317</v>
      </c>
      <c r="R131" s="254">
        <f>((R132*[1]Rekonštrukcia!O35)+(R133*[1]Rekonštrukcia!O54))+R134</f>
        <v>75583940.86868988</v>
      </c>
      <c r="S131" s="254">
        <f>((S132*[1]Rekonštrukcia!P35)+(S133*[1]Rekonštrukcia!P54))+S134</f>
        <v>75583940.86868988</v>
      </c>
      <c r="T131" s="254">
        <f>((T132*[1]Rekonštrukcia!Q35)+(T133*[1]Rekonštrukcia!Q54))+T134</f>
        <v>75583940.86868988</v>
      </c>
      <c r="U131" s="254">
        <f>((U132*[1]Rekonštrukcia!R35)+(U133*[1]Rekonštrukcia!R54))+U134</f>
        <v>75583940.86868988</v>
      </c>
      <c r="V131" s="254">
        <f>((V132*[1]Rekonštrukcia!S35)+(V133*[1]Rekonštrukcia!S54))+V134</f>
        <v>75583940.86868988</v>
      </c>
      <c r="W131" s="254">
        <f>((W132*[1]Rekonštrukcia!T35)+(W133*[1]Rekonštrukcia!T54))+W134</f>
        <v>75583940.86868988</v>
      </c>
      <c r="X131" s="254">
        <f>((X132*[1]Rekonštrukcia!U35)+(X133*[1]Rekonštrukcia!U54))+X134</f>
        <v>75583940.86868988</v>
      </c>
      <c r="Y131" s="254">
        <f>((Y132*[1]Rekonštrukcia!V35)+(Y133*[1]Rekonštrukcia!V54))+Y134</f>
        <v>75583940.86868988</v>
      </c>
      <c r="Z131" s="254">
        <f>((Z132*[1]Rekonštrukcia!W35)+(Z133*[1]Rekonštrukcia!W54))+Z134</f>
        <v>75583940.86868988</v>
      </c>
      <c r="AA131" s="254">
        <f>((AA132*[1]Rekonštrukcia!X35)+(AA133*[1]Rekonštrukcia!X54))+AA134</f>
        <v>75583940.86868988</v>
      </c>
      <c r="AB131" s="254">
        <f>((AB132*[1]Rekonštrukcia!Y35)+(AB133*[1]Rekonštrukcia!Y54))+AB134</f>
        <v>75583940.86868988</v>
      </c>
      <c r="AC131" s="254">
        <f>((AC132*[1]Rekonštrukcia!Z35)+(AC133*[1]Rekonštrukcia!Z54))+AC134</f>
        <v>75583940.86868988</v>
      </c>
      <c r="AD131" s="254">
        <f>((AD132*[1]Rekonštrukcia!AA35)+(AD133*[1]Rekonštrukcia!AA54))+AD134</f>
        <v>75583940.86868988</v>
      </c>
      <c r="AE131" s="254">
        <f>((AE132*[1]Rekonštrukcia!AB35)+(AE133*[1]Rekonštrukcia!AB54))+AE134</f>
        <v>75583940.86868988</v>
      </c>
      <c r="AF131" s="254">
        <f>((AF132*[1]Rekonštrukcia!AC35)+(AF133*[1]Rekonštrukcia!AC54))+AF134</f>
        <v>75583940.86868988</v>
      </c>
      <c r="AG131" s="254">
        <f>((AG132*[1]Rekonštrukcia!AD35)+(AG133*[1]Rekonštrukcia!AD54))+AG134</f>
        <v>75583940.86868988</v>
      </c>
      <c r="AH131" s="254">
        <f>((AH132*[1]Rekonštrukcia!AE35)+(AH133*[1]Rekonštrukcia!AE54))+AH134</f>
        <v>75583940.86868988</v>
      </c>
      <c r="AI131" s="254">
        <f>((AI132*[1]Rekonštrukcia!AF35)+(AI133*[1]Rekonštrukcia!AF54))+AI134</f>
        <v>75583940.86868988</v>
      </c>
      <c r="AJ131" s="254">
        <f>((AJ132*[1]Rekonštrukcia!AG35)+(AJ133*[1]Rekonštrukcia!AG54))+AJ134</f>
        <v>75583940.86868988</v>
      </c>
      <c r="AK131" s="254">
        <f>((AK132*[1]Rekonštrukcia!AH35)+(AK133*[1]Rekonštrukcia!AH54))+AK134</f>
        <v>75583940.86868988</v>
      </c>
      <c r="AL131" s="254">
        <f>((AL132*[1]Rekonštrukcia!AI35)+(AL133*[1]Rekonštrukcia!AI54))+AL134</f>
        <v>75583940.86868988</v>
      </c>
      <c r="AM131" s="254">
        <f>((AM132*[1]Rekonštrukcia!AJ35)+(AM133*[1]Rekonštrukcia!AJ54))+AM134</f>
        <v>75583940.86868988</v>
      </c>
      <c r="AN131" s="254">
        <f>((AN132*[1]Rekonštrukcia!AK35)+(AN133*[1]Rekonštrukcia!AK54))+AN134</f>
        <v>75583940.86868988</v>
      </c>
    </row>
    <row r="132" spans="1:40" s="3" customFormat="1" ht="14" x14ac:dyDescent="0.3">
      <c r="A132" s="248"/>
      <c r="B132" s="248"/>
      <c r="C132" s="248"/>
      <c r="D132" s="250" t="s">
        <v>155</v>
      </c>
      <c r="E132" s="249">
        <f>(E128*0.54)/[1]Rekonštrukcia!B35</f>
        <v>866.3500124843946</v>
      </c>
      <c r="F132" s="249">
        <f>(F128*0.54)/[1]Rekonštrukcia!C35</f>
        <v>947.68772447724484</v>
      </c>
      <c r="G132" s="249">
        <f>(G128*0.54)/[1]Rekonštrukcia!D35</f>
        <v>729.35823474759991</v>
      </c>
      <c r="H132" s="249">
        <f>(H128*0.54)/[1]Rekonštrukcia!E35</f>
        <v>802.61928188016827</v>
      </c>
      <c r="I132" s="249">
        <f>(I128*0.54)/[1]Rekonštrukcia!F35</f>
        <v>942.60578653469054</v>
      </c>
      <c r="J132" s="249">
        <f>(J128*0.54)/[1]Rekonštrukcia!G35</f>
        <v>1575.8845539412673</v>
      </c>
      <c r="K132" s="249">
        <f>(K128*0.54)/[1]Rekonštrukcia!H35</f>
        <v>2006.938686566132</v>
      </c>
      <c r="L132" s="249">
        <f>(L128*0.54)/[1]Rekonštrukcia!I35</f>
        <v>1857.5768026598159</v>
      </c>
      <c r="M132" s="249">
        <f>(M128*0.54)/[1]Rekonštrukcia!J35</f>
        <v>2270.654046234848</v>
      </c>
      <c r="N132" s="249">
        <f>(N128*0.54)/[1]Rekonštrukcia!K35</f>
        <v>2803.88895524397</v>
      </c>
      <c r="O132" s="249">
        <f>(O128*0.54)/[1]Rekonštrukcia!L35</f>
        <v>2880.4471285699369</v>
      </c>
      <c r="P132" s="249">
        <f>(P128*0.54)/[1]Rekonštrukcia!M35</f>
        <v>2957.7249060934446</v>
      </c>
      <c r="Q132" s="249">
        <f>(Q128*0.54)/[1]Rekonštrukcia!N35</f>
        <v>2606.7092433582129</v>
      </c>
      <c r="R132" s="249">
        <f>(R128*0.54)/[1]Rekonštrukcia!O35</f>
        <v>2338.6541779082831</v>
      </c>
      <c r="S132" s="249">
        <f>(S128*0.54)/[1]Rekonštrukcia!P35</f>
        <v>2224.8148905118355</v>
      </c>
      <c r="T132" s="249">
        <f>(T128*0.54)/[1]Rekonštrukcia!Q35</f>
        <v>2194.4946115274397</v>
      </c>
      <c r="U132" s="249">
        <f>(U128*0.54)/[1]Rekonštrukcia!R35</f>
        <v>2168.7047699447344</v>
      </c>
      <c r="V132" s="249">
        <f>(V128*0.54)/[1]Rekonštrukcia!S35</f>
        <v>2145.1135773795763</v>
      </c>
      <c r="W132" s="249">
        <f>(W128*0.54)/[1]Rekonštrukcia!T35</f>
        <v>2121.5265557480984</v>
      </c>
      <c r="X132" s="249">
        <f>(X128*0.54)/[1]Rekonštrukcia!U35</f>
        <v>2098.0831482920166</v>
      </c>
      <c r="Y132" s="249">
        <f>(Y128*0.54)/[1]Rekonštrukcia!V35</f>
        <v>2074.9449716083113</v>
      </c>
      <c r="Z132" s="249">
        <f>(Z128*0.54)/[1]Rekonštrukcia!W35</f>
        <v>2056.4487701577305</v>
      </c>
      <c r="AA132" s="249">
        <f>(AA128*0.54)/[1]Rekonštrukcia!X35</f>
        <v>2037.547974258712</v>
      </c>
      <c r="AB132" s="249">
        <f>(AB128*0.54)/[1]Rekonštrukcia!Y35</f>
        <v>2018.535906551466</v>
      </c>
      <c r="AC132" s="249">
        <f>(AC128*0.54)/[1]Rekonštrukcia!Z35</f>
        <v>1999.4050568663704</v>
      </c>
      <c r="AD132" s="249">
        <f>(AD128*0.54)/[1]Rekonštrukcia!AA35</f>
        <v>1988.4686988315075</v>
      </c>
      <c r="AE132" s="249">
        <f>(AE128*0.54)/[1]Rekonštrukcia!AB35</f>
        <v>1976.9886091523113</v>
      </c>
      <c r="AF132" s="249">
        <f>(AF128*0.54)/[1]Rekonštrukcia!AC35</f>
        <v>1976.5932904942124</v>
      </c>
      <c r="AG132" s="249">
        <f>(AG128*0.54)/[1]Rekonštrukcia!AD35</f>
        <v>1952.5482513427282</v>
      </c>
      <c r="AH132" s="249">
        <f>(AH128*0.54)/[1]Rekonštrukcia!AE35</f>
        <v>1939.4871588108406</v>
      </c>
      <c r="AI132" s="249">
        <f>(AI128*0.54)/[1]Rekonštrukcia!AF35</f>
        <v>1927.1292232950975</v>
      </c>
      <c r="AJ132" s="249">
        <f>(AJ128*0.54)/[1]Rekonštrukcia!AG35</f>
        <v>1914.1630514584735</v>
      </c>
      <c r="AK132" s="249">
        <f>(AK128*0.54)/[1]Rekonštrukcia!AH35</f>
        <v>1900.5831756426078</v>
      </c>
      <c r="AL132" s="249">
        <f>(AL128*0.54)/[1]Rekonštrukcia!AI35</f>
        <v>1884.5142100027842</v>
      </c>
      <c r="AM132" s="249">
        <f>(AM128*0.54)/[1]Rekonštrukcia!AJ35</f>
        <v>1867.9239483438257</v>
      </c>
      <c r="AN132" s="249">
        <f>(AN128*0.54)/[1]Rekonštrukcia!AK35</f>
        <v>1850.5069032868414</v>
      </c>
    </row>
    <row r="133" spans="1:40" s="3" customFormat="1" ht="14" x14ac:dyDescent="0.3">
      <c r="A133" s="248"/>
      <c r="B133" s="248"/>
      <c r="C133" s="248"/>
      <c r="D133" s="250" t="s">
        <v>156</v>
      </c>
      <c r="E133" s="249">
        <f>(E128*0.16)/[1]Rekonštrukcia!B54</f>
        <v>480.32279633154525</v>
      </c>
      <c r="F133" s="249">
        <f>(F128*0.16)/[1]Rekonštrukcia!C54</f>
        <v>488.21868990099011</v>
      </c>
      <c r="G133" s="249">
        <f>(G128*0.16)/[1]Rekonštrukcia!D54</f>
        <v>651.61450923428106</v>
      </c>
      <c r="H133" s="249">
        <f>(H128*0.16)/[1]Rekonštrukcia!E54</f>
        <v>633.95372329111478</v>
      </c>
      <c r="I133" s="249">
        <f>(I128*0.16)/[1]Rekonštrukcia!F54</f>
        <v>623.83678291339891</v>
      </c>
      <c r="J133" s="249">
        <f>(J128*0.16)/[1]Rekonštrukcia!G54</f>
        <v>842.45093586168434</v>
      </c>
      <c r="K133" s="249">
        <f>(K128*0.16)/[1]Rekonštrukcia!H54</f>
        <v>916.54107175605088</v>
      </c>
      <c r="L133" s="249">
        <f>(L128*0.16)/[1]Rekonštrukcia!I54</f>
        <v>686.06034086213958</v>
      </c>
      <c r="M133" s="249">
        <f>(M128*0.16)/[1]Rekonštrukcia!J54</f>
        <v>931.01359654912801</v>
      </c>
      <c r="N133" s="249">
        <f>(N128*0.16)/[1]Rekonštrukcia!K54</f>
        <v>885.4501004152952</v>
      </c>
      <c r="O133" s="249">
        <f>(O128*0.16)/[1]Rekonštrukcia!L54</f>
        <v>891.79086197094864</v>
      </c>
      <c r="P133" s="249">
        <f>(P128*0.16)/[1]Rekonštrukcia!M54</f>
        <v>897.76096153718697</v>
      </c>
      <c r="Q133" s="249">
        <f>(Q128*0.16)/[1]Rekonštrukcia!N54</f>
        <v>865.88027034909737</v>
      </c>
      <c r="R133" s="249">
        <f>(R128*0.16)/[1]Rekonštrukcia!O54</f>
        <v>834.67620590943693</v>
      </c>
      <c r="S133" s="249">
        <f>(S128*0.16)/[1]Rekonštrukcia!P54</f>
        <v>814.31824966774332</v>
      </c>
      <c r="T133" s="249">
        <f>(T128*0.16)/[1]Rekonštrukcia!Q54</f>
        <v>802.283989820437</v>
      </c>
      <c r="U133" s="249">
        <f>(U128*0.16)/[1]Rekonštrukcia!R54</f>
        <v>790.42757617777045</v>
      </c>
      <c r="V133" s="249">
        <f>(V128*0.16)/[1]Rekonštrukcia!S54</f>
        <v>778.74638047070982</v>
      </c>
      <c r="W133" s="249">
        <f>(W128*0.16)/[1]Rekonštrukcia!T54</f>
        <v>767.23781327163533</v>
      </c>
      <c r="X133" s="249">
        <f>(X128*0.16)/[1]Rekonštrukcia!U54</f>
        <v>755.89932342033046</v>
      </c>
      <c r="Y133" s="249">
        <f>(Y128*0.16)/[1]Rekonštrukcia!V54</f>
        <v>744.72839745845374</v>
      </c>
      <c r="Z133" s="249">
        <f>(Z128*0.16)/[1]Rekonštrukcia!W54</f>
        <v>737.35484896876596</v>
      </c>
      <c r="AA133" s="249">
        <f>(AA128*0.16)/[1]Rekonštrukcia!X54</f>
        <v>730.05430590966944</v>
      </c>
      <c r="AB133" s="249">
        <f>(AB128*0.16)/[1]Rekonštrukcia!Y54</f>
        <v>722.82604545511811</v>
      </c>
      <c r="AC133" s="249">
        <f>(AC128*0.16)/[1]Rekonštrukcia!Z54</f>
        <v>715.66935193576057</v>
      </c>
      <c r="AD133" s="249">
        <f>(AD128*0.16)/[1]Rekonštrukcia!AA54</f>
        <v>708.58351676807979</v>
      </c>
      <c r="AE133" s="249">
        <f>(AE128*0.16)/[1]Rekonštrukcia!AB54</f>
        <v>701.56783838423746</v>
      </c>
      <c r="AF133" s="249">
        <f>(AF128*0.16)/[1]Rekonštrukcia!AC54</f>
        <v>694.62162216261129</v>
      </c>
      <c r="AG133" s="249">
        <f>(AG128*0.16)/[1]Rekonštrukcia!AD54</f>
        <v>687.74418035902113</v>
      </c>
      <c r="AH133" s="249">
        <f>(AH128*0.16)/[1]Rekonštrukcia!AE54</f>
        <v>680.9348320386348</v>
      </c>
      <c r="AI133" s="249">
        <f>(AI128*0.16)/[1]Rekonštrukcia!AF54</f>
        <v>680.9348320386348</v>
      </c>
      <c r="AJ133" s="249">
        <f>(AJ128*0.16)/[1]Rekonštrukcia!AG54</f>
        <v>680.9348320386348</v>
      </c>
      <c r="AK133" s="249">
        <f>(AK128*0.16)/[1]Rekonštrukcia!AH54</f>
        <v>680.9348320386348</v>
      </c>
      <c r="AL133" s="249">
        <f>(AL128*0.16)/[1]Rekonštrukcia!AI54</f>
        <v>680.9348320386348</v>
      </c>
      <c r="AM133" s="249">
        <f>(AM128*0.16)/[1]Rekonštrukcia!AJ54</f>
        <v>680.9348320386348</v>
      </c>
      <c r="AN133" s="249">
        <f>(AN128*0.16)/[1]Rekonštrukcia!AK54</f>
        <v>680.9348320386348</v>
      </c>
    </row>
    <row r="134" spans="1:40" s="3" customFormat="1" ht="14" x14ac:dyDescent="0.3">
      <c r="A134" s="248"/>
      <c r="B134" s="248"/>
      <c r="C134" s="248"/>
      <c r="D134" s="252" t="s">
        <v>157</v>
      </c>
      <c r="E134" s="251">
        <f t="shared" ref="E134:L134" si="217">E128*0.3</f>
        <v>10409195.4</v>
      </c>
      <c r="F134" s="251">
        <f t="shared" si="217"/>
        <v>11557051.799999999</v>
      </c>
      <c r="G134" s="251">
        <f t="shared" si="217"/>
        <v>11775488.699999999</v>
      </c>
      <c r="H134" s="251">
        <f t="shared" si="217"/>
        <v>12294343.799999999</v>
      </c>
      <c r="I134" s="251">
        <f t="shared" si="217"/>
        <v>14019951.9</v>
      </c>
      <c r="J134" s="251">
        <f t="shared" si="217"/>
        <v>14161073.699999999</v>
      </c>
      <c r="K134" s="251">
        <f t="shared" si="217"/>
        <v>16117947.585000001</v>
      </c>
      <c r="L134" s="251">
        <f t="shared" si="217"/>
        <v>16388780.9376</v>
      </c>
      <c r="M134" s="251">
        <f>M128*0.3</f>
        <v>22685091.258719999</v>
      </c>
      <c r="N134" s="251">
        <f t="shared" ref="N134:AN134" si="218">N128*0.3</f>
        <v>22006388.237039998</v>
      </c>
      <c r="O134" s="251">
        <f t="shared" si="218"/>
        <v>22607256.856240802</v>
      </c>
      <c r="P134" s="251">
        <f t="shared" si="218"/>
        <v>23213773.30586601</v>
      </c>
      <c r="Q134" s="251">
        <f t="shared" si="218"/>
        <v>22949156.731293395</v>
      </c>
      <c r="R134" s="251">
        <f t="shared" si="218"/>
        <v>22675182.260606963</v>
      </c>
      <c r="S134" s="251">
        <f t="shared" si="218"/>
        <v>22675182.260606963</v>
      </c>
      <c r="T134" s="251">
        <f t="shared" si="218"/>
        <v>22675182.260606963</v>
      </c>
      <c r="U134" s="251">
        <f t="shared" si="218"/>
        <v>22675182.260606963</v>
      </c>
      <c r="V134" s="251">
        <f t="shared" si="218"/>
        <v>22675182.260606963</v>
      </c>
      <c r="W134" s="251">
        <f t="shared" si="218"/>
        <v>22675182.260606963</v>
      </c>
      <c r="X134" s="251">
        <f t="shared" si="218"/>
        <v>22675182.260606963</v>
      </c>
      <c r="Y134" s="251">
        <f t="shared" si="218"/>
        <v>22675182.260606963</v>
      </c>
      <c r="Z134" s="251">
        <f t="shared" si="218"/>
        <v>22675182.260606963</v>
      </c>
      <c r="AA134" s="251">
        <f t="shared" si="218"/>
        <v>22675182.260606963</v>
      </c>
      <c r="AB134" s="251">
        <f t="shared" si="218"/>
        <v>22675182.260606963</v>
      </c>
      <c r="AC134" s="251">
        <f t="shared" si="218"/>
        <v>22675182.260606963</v>
      </c>
      <c r="AD134" s="251">
        <f t="shared" si="218"/>
        <v>22675182.260606963</v>
      </c>
      <c r="AE134" s="251">
        <f t="shared" si="218"/>
        <v>22675182.260606963</v>
      </c>
      <c r="AF134" s="251">
        <f t="shared" si="218"/>
        <v>22675182.260606963</v>
      </c>
      <c r="AG134" s="251">
        <f t="shared" si="218"/>
        <v>22675182.260606963</v>
      </c>
      <c r="AH134" s="251">
        <f t="shared" si="218"/>
        <v>22675182.260606963</v>
      </c>
      <c r="AI134" s="251">
        <f t="shared" si="218"/>
        <v>22675182.260606963</v>
      </c>
      <c r="AJ134" s="251">
        <f t="shared" si="218"/>
        <v>22675182.260606963</v>
      </c>
      <c r="AK134" s="251">
        <f t="shared" si="218"/>
        <v>22675182.260606963</v>
      </c>
      <c r="AL134" s="251">
        <f t="shared" si="218"/>
        <v>22675182.260606963</v>
      </c>
      <c r="AM134" s="251">
        <f t="shared" si="218"/>
        <v>22675182.260606963</v>
      </c>
      <c r="AN134" s="251">
        <f t="shared" si="218"/>
        <v>22675182.260606963</v>
      </c>
    </row>
    <row r="135" spans="1:40" s="3" customFormat="1" ht="14" x14ac:dyDescent="0.3">
      <c r="A135" s="248"/>
      <c r="B135" s="248"/>
      <c r="C135" s="248"/>
      <c r="E135" s="58"/>
      <c r="F135" s="15"/>
      <c r="G135" s="15"/>
      <c r="H135" s="15"/>
      <c r="I135" s="15"/>
      <c r="J135" s="15"/>
      <c r="K135" s="15"/>
      <c r="L135" s="15"/>
      <c r="M135" s="249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</row>
    <row r="136" spans="1:40" x14ac:dyDescent="0.35">
      <c r="A136" s="1" t="s">
        <v>9</v>
      </c>
      <c r="B136" s="1"/>
      <c r="C136" s="1"/>
      <c r="D136" s="1"/>
      <c r="E136" s="17">
        <v>8235933</v>
      </c>
      <c r="F136" s="17">
        <v>9569309</v>
      </c>
      <c r="G136" s="17">
        <v>9869394</v>
      </c>
      <c r="H136" s="17">
        <v>9515445</v>
      </c>
      <c r="I136" s="17">
        <v>10618026</v>
      </c>
      <c r="J136" s="17">
        <v>8684693</v>
      </c>
      <c r="K136" s="17">
        <v>10973194</v>
      </c>
      <c r="L136" s="17">
        <f>SUM(L139:L147)</f>
        <v>9330994.7920000013</v>
      </c>
      <c r="M136" s="18">
        <f t="shared" ref="M136" si="219">SUM(M139:M147)</f>
        <v>13980306.9024</v>
      </c>
      <c r="N136" s="17">
        <f>SUM(N139:N147)</f>
        <v>10485230.1768</v>
      </c>
      <c r="O136" s="17">
        <f t="shared" ref="O136:AN136" si="220">SUM(O139:O147)</f>
        <v>10694934.780336</v>
      </c>
      <c r="P136" s="17">
        <f t="shared" si="220"/>
        <v>10908833.475942718</v>
      </c>
      <c r="Q136" s="17">
        <f t="shared" si="220"/>
        <v>11137918.978937518</v>
      </c>
      <c r="R136" s="17">
        <f t="shared" si="220"/>
        <v>11137918.978937518</v>
      </c>
      <c r="S136" s="17">
        <f t="shared" si="220"/>
        <v>11137918.978937518</v>
      </c>
      <c r="T136" s="17">
        <f t="shared" si="220"/>
        <v>11137918.978937518</v>
      </c>
      <c r="U136" s="17">
        <f t="shared" si="220"/>
        <v>11137918.978937518</v>
      </c>
      <c r="V136" s="17">
        <f t="shared" si="220"/>
        <v>11137918.978937518</v>
      </c>
      <c r="W136" s="17">
        <f t="shared" si="220"/>
        <v>11137918.978937518</v>
      </c>
      <c r="X136" s="17">
        <f t="shared" si="220"/>
        <v>11137918.978937518</v>
      </c>
      <c r="Y136" s="17">
        <f t="shared" si="220"/>
        <v>11137918.978937518</v>
      </c>
      <c r="Z136" s="17">
        <f t="shared" si="220"/>
        <v>11137918.978937518</v>
      </c>
      <c r="AA136" s="17">
        <f t="shared" si="220"/>
        <v>11137918.978937518</v>
      </c>
      <c r="AB136" s="17">
        <f t="shared" si="220"/>
        <v>11137918.978937518</v>
      </c>
      <c r="AC136" s="17">
        <f t="shared" si="220"/>
        <v>11137918.978937518</v>
      </c>
      <c r="AD136" s="17">
        <f t="shared" si="220"/>
        <v>11137918.978937518</v>
      </c>
      <c r="AE136" s="17">
        <f t="shared" si="220"/>
        <v>11137918.978937518</v>
      </c>
      <c r="AF136" s="17">
        <f t="shared" si="220"/>
        <v>11137918.978937518</v>
      </c>
      <c r="AG136" s="17">
        <f t="shared" si="220"/>
        <v>11137918.978937518</v>
      </c>
      <c r="AH136" s="17">
        <f t="shared" si="220"/>
        <v>11137918.978937518</v>
      </c>
      <c r="AI136" s="17">
        <f t="shared" si="220"/>
        <v>11137918.978937518</v>
      </c>
      <c r="AJ136" s="17">
        <f t="shared" si="220"/>
        <v>11137918.978937518</v>
      </c>
      <c r="AK136" s="17">
        <f t="shared" si="220"/>
        <v>11137918.978937518</v>
      </c>
      <c r="AL136" s="17">
        <f t="shared" si="220"/>
        <v>11137918.978937518</v>
      </c>
      <c r="AM136" s="17">
        <f t="shared" si="220"/>
        <v>11137918.978937518</v>
      </c>
      <c r="AN136" s="17">
        <f t="shared" si="220"/>
        <v>11137918.978937518</v>
      </c>
    </row>
    <row r="137" spans="1:40" x14ac:dyDescent="0.35">
      <c r="A137" s="19" t="s">
        <v>10</v>
      </c>
      <c r="B137" s="19"/>
      <c r="C137" s="20"/>
      <c r="D137" s="1"/>
      <c r="E137" s="21">
        <f t="shared" ref="E137:AN137" si="221">E136/E128</f>
        <v>0.23736511853740397</v>
      </c>
      <c r="F137" s="21">
        <f t="shared" si="221"/>
        <v>0.2484018199174291</v>
      </c>
      <c r="G137" s="21">
        <f t="shared" si="221"/>
        <v>0.25143909313929363</v>
      </c>
      <c r="H137" s="21">
        <f t="shared" si="221"/>
        <v>0.23219079817826471</v>
      </c>
      <c r="I137" s="21">
        <f t="shared" si="221"/>
        <v>0.22720533014096861</v>
      </c>
      <c r="J137" s="21">
        <f t="shared" si="221"/>
        <v>0.18398378224668091</v>
      </c>
      <c r="K137" s="21">
        <f t="shared" si="221"/>
        <v>0.20424177350369513</v>
      </c>
      <c r="L137" s="21">
        <f t="shared" si="221"/>
        <v>0.17080577550327145</v>
      </c>
      <c r="M137" s="265">
        <f t="shared" si="221"/>
        <v>0.18488319147086607</v>
      </c>
      <c r="N137" s="21">
        <f t="shared" si="221"/>
        <v>0.14293890570127918</v>
      </c>
      <c r="O137" s="21">
        <f t="shared" si="221"/>
        <v>0.14192258948104486</v>
      </c>
      <c r="P137" s="21">
        <f t="shared" si="221"/>
        <v>0.14097880597273826</v>
      </c>
      <c r="Q137" s="21">
        <f t="shared" si="221"/>
        <v>0.14559906199625045</v>
      </c>
      <c r="R137" s="21">
        <f t="shared" si="221"/>
        <v>0.14735827281468628</v>
      </c>
      <c r="S137" s="21">
        <f t="shared" si="221"/>
        <v>0.14735827281468628</v>
      </c>
      <c r="T137" s="21">
        <f t="shared" si="221"/>
        <v>0.14735827281468628</v>
      </c>
      <c r="U137" s="21">
        <f t="shared" si="221"/>
        <v>0.14735827281468628</v>
      </c>
      <c r="V137" s="21">
        <f t="shared" si="221"/>
        <v>0.14735827281468628</v>
      </c>
      <c r="W137" s="21">
        <f t="shared" si="221"/>
        <v>0.14735827281468628</v>
      </c>
      <c r="X137" s="21">
        <f t="shared" si="221"/>
        <v>0.14735827281468628</v>
      </c>
      <c r="Y137" s="21">
        <f t="shared" si="221"/>
        <v>0.14735827281468628</v>
      </c>
      <c r="Z137" s="21">
        <f t="shared" si="221"/>
        <v>0.14735827281468628</v>
      </c>
      <c r="AA137" s="21">
        <f t="shared" si="221"/>
        <v>0.14735827281468628</v>
      </c>
      <c r="AB137" s="21">
        <f t="shared" si="221"/>
        <v>0.14735827281468628</v>
      </c>
      <c r="AC137" s="21">
        <f t="shared" si="221"/>
        <v>0.14735827281468628</v>
      </c>
      <c r="AD137" s="21">
        <f t="shared" si="221"/>
        <v>0.14735827281468628</v>
      </c>
      <c r="AE137" s="21">
        <f t="shared" si="221"/>
        <v>0.14735827281468628</v>
      </c>
      <c r="AF137" s="21">
        <f t="shared" si="221"/>
        <v>0.14735827281468628</v>
      </c>
      <c r="AG137" s="21">
        <f t="shared" si="221"/>
        <v>0.14735827281468628</v>
      </c>
      <c r="AH137" s="21">
        <f t="shared" si="221"/>
        <v>0.14735827281468628</v>
      </c>
      <c r="AI137" s="21">
        <f t="shared" si="221"/>
        <v>0.14735827281468628</v>
      </c>
      <c r="AJ137" s="21">
        <f t="shared" si="221"/>
        <v>0.14735827281468628</v>
      </c>
      <c r="AK137" s="21">
        <f t="shared" si="221"/>
        <v>0.14735827281468628</v>
      </c>
      <c r="AL137" s="21">
        <f t="shared" si="221"/>
        <v>0.14735827281468628</v>
      </c>
      <c r="AM137" s="21">
        <f t="shared" si="221"/>
        <v>0.14735827281468628</v>
      </c>
      <c r="AN137" s="21">
        <f t="shared" si="221"/>
        <v>0.14735827281468628</v>
      </c>
    </row>
    <row r="138" spans="1:40" x14ac:dyDescent="0.35">
      <c r="A138" s="19"/>
      <c r="B138" s="19"/>
      <c r="C138" s="20"/>
      <c r="D138" s="1"/>
      <c r="E138" s="21"/>
      <c r="F138" s="21"/>
      <c r="G138" s="21"/>
      <c r="H138" s="21"/>
      <c r="I138" s="21"/>
      <c r="J138" s="22"/>
      <c r="K138" s="21"/>
      <c r="L138" s="1"/>
      <c r="M138" s="266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</row>
    <row r="139" spans="1:40" x14ac:dyDescent="0.35">
      <c r="A139" s="23" t="s">
        <v>11</v>
      </c>
      <c r="B139" s="24"/>
      <c r="C139" s="1"/>
      <c r="D139" s="1"/>
      <c r="E139" s="25">
        <v>64520.94</v>
      </c>
      <c r="F139" s="25">
        <v>67715.38</v>
      </c>
      <c r="G139" s="25">
        <v>67658.850000000006</v>
      </c>
      <c r="H139" s="26">
        <v>69189.039999999994</v>
      </c>
      <c r="I139" s="27">
        <v>67876.55</v>
      </c>
      <c r="J139" s="28">
        <v>56157</v>
      </c>
      <c r="K139" s="28">
        <v>58763</v>
      </c>
      <c r="L139" s="17">
        <f>70504.31/10*12</f>
        <v>84605.171999999991</v>
      </c>
      <c r="M139" s="267">
        <f>L139*1.15</f>
        <v>97295.94779999998</v>
      </c>
      <c r="N139" s="18">
        <f>M139*0.75</f>
        <v>72971.960849999989</v>
      </c>
      <c r="O139" s="18">
        <f>N139*1.02</f>
        <v>74431.400066999995</v>
      </c>
      <c r="P139" s="18">
        <f>O139*1.02</f>
        <v>75920.028068339991</v>
      </c>
      <c r="Q139" s="17">
        <f>P139*1.021</f>
        <v>77514.348657775117</v>
      </c>
      <c r="R139" s="17">
        <f t="shared" ref="R139:R147" si="222">Q139</f>
        <v>77514.348657775117</v>
      </c>
      <c r="S139" s="17">
        <f t="shared" ref="S139:AN139" si="223">R139</f>
        <v>77514.348657775117</v>
      </c>
      <c r="T139" s="17">
        <f t="shared" si="223"/>
        <v>77514.348657775117</v>
      </c>
      <c r="U139" s="17">
        <f t="shared" si="223"/>
        <v>77514.348657775117</v>
      </c>
      <c r="V139" s="17">
        <f t="shared" si="223"/>
        <v>77514.348657775117</v>
      </c>
      <c r="W139" s="17">
        <f t="shared" si="223"/>
        <v>77514.348657775117</v>
      </c>
      <c r="X139" s="17">
        <f t="shared" si="223"/>
        <v>77514.348657775117</v>
      </c>
      <c r="Y139" s="17">
        <f t="shared" si="223"/>
        <v>77514.348657775117</v>
      </c>
      <c r="Z139" s="17">
        <f t="shared" si="223"/>
        <v>77514.348657775117</v>
      </c>
      <c r="AA139" s="17">
        <f t="shared" si="223"/>
        <v>77514.348657775117</v>
      </c>
      <c r="AB139" s="17">
        <f t="shared" si="223"/>
        <v>77514.348657775117</v>
      </c>
      <c r="AC139" s="17">
        <f t="shared" si="223"/>
        <v>77514.348657775117</v>
      </c>
      <c r="AD139" s="17">
        <f t="shared" si="223"/>
        <v>77514.348657775117</v>
      </c>
      <c r="AE139" s="17">
        <f t="shared" si="223"/>
        <v>77514.348657775117</v>
      </c>
      <c r="AF139" s="17">
        <f t="shared" si="223"/>
        <v>77514.348657775117</v>
      </c>
      <c r="AG139" s="17">
        <f t="shared" si="223"/>
        <v>77514.348657775117</v>
      </c>
      <c r="AH139" s="17">
        <f t="shared" si="223"/>
        <v>77514.348657775117</v>
      </c>
      <c r="AI139" s="17">
        <f t="shared" si="223"/>
        <v>77514.348657775117</v>
      </c>
      <c r="AJ139" s="17">
        <f t="shared" si="223"/>
        <v>77514.348657775117</v>
      </c>
      <c r="AK139" s="17">
        <f t="shared" si="223"/>
        <v>77514.348657775117</v>
      </c>
      <c r="AL139" s="17">
        <f t="shared" si="223"/>
        <v>77514.348657775117</v>
      </c>
      <c r="AM139" s="17">
        <f t="shared" si="223"/>
        <v>77514.348657775117</v>
      </c>
      <c r="AN139" s="17">
        <f t="shared" si="223"/>
        <v>77514.348657775117</v>
      </c>
    </row>
    <row r="140" spans="1:40" x14ac:dyDescent="0.35">
      <c r="A140" s="23" t="s">
        <v>12</v>
      </c>
      <c r="B140" s="24"/>
      <c r="C140" s="1"/>
      <c r="D140" s="1"/>
      <c r="E140" s="25">
        <v>2655524.4900000002</v>
      </c>
      <c r="F140" s="25">
        <v>2948897.49</v>
      </c>
      <c r="G140" s="25">
        <v>3216588.86</v>
      </c>
      <c r="H140" s="26">
        <v>3147573.47</v>
      </c>
      <c r="I140" s="27">
        <v>3703783.45</v>
      </c>
      <c r="J140" s="28">
        <v>2878128</v>
      </c>
      <c r="K140" s="28">
        <v>4136885</v>
      </c>
      <c r="L140" s="17">
        <v>2954056</v>
      </c>
      <c r="M140" s="267">
        <v>4008540</v>
      </c>
      <c r="N140" s="18">
        <f t="shared" ref="N140:N147" si="224">M140*0.75</f>
        <v>3006405</v>
      </c>
      <c r="O140" s="18">
        <f t="shared" ref="O140:P147" si="225">N140*1.02</f>
        <v>3066533.1</v>
      </c>
      <c r="P140" s="18">
        <f t="shared" si="225"/>
        <v>3127863.7620000001</v>
      </c>
      <c r="Q140" s="17">
        <f t="shared" ref="Q140:Q147" si="226">P140*1.021</f>
        <v>3193548.9010019996</v>
      </c>
      <c r="R140" s="17">
        <f t="shared" si="222"/>
        <v>3193548.9010019996</v>
      </c>
      <c r="S140" s="17">
        <f t="shared" ref="S140:AN140" si="227">R140</f>
        <v>3193548.9010019996</v>
      </c>
      <c r="T140" s="17">
        <f t="shared" si="227"/>
        <v>3193548.9010019996</v>
      </c>
      <c r="U140" s="17">
        <f t="shared" si="227"/>
        <v>3193548.9010019996</v>
      </c>
      <c r="V140" s="17">
        <f t="shared" si="227"/>
        <v>3193548.9010019996</v>
      </c>
      <c r="W140" s="17">
        <f t="shared" si="227"/>
        <v>3193548.9010019996</v>
      </c>
      <c r="X140" s="17">
        <f t="shared" si="227"/>
        <v>3193548.9010019996</v>
      </c>
      <c r="Y140" s="17">
        <f t="shared" si="227"/>
        <v>3193548.9010019996</v>
      </c>
      <c r="Z140" s="17">
        <f t="shared" si="227"/>
        <v>3193548.9010019996</v>
      </c>
      <c r="AA140" s="17">
        <f t="shared" si="227"/>
        <v>3193548.9010019996</v>
      </c>
      <c r="AB140" s="17">
        <f t="shared" si="227"/>
        <v>3193548.9010019996</v>
      </c>
      <c r="AC140" s="17">
        <f t="shared" si="227"/>
        <v>3193548.9010019996</v>
      </c>
      <c r="AD140" s="17">
        <f t="shared" si="227"/>
        <v>3193548.9010019996</v>
      </c>
      <c r="AE140" s="17">
        <f t="shared" si="227"/>
        <v>3193548.9010019996</v>
      </c>
      <c r="AF140" s="17">
        <f t="shared" si="227"/>
        <v>3193548.9010019996</v>
      </c>
      <c r="AG140" s="17">
        <f t="shared" si="227"/>
        <v>3193548.9010019996</v>
      </c>
      <c r="AH140" s="17">
        <f t="shared" si="227"/>
        <v>3193548.9010019996</v>
      </c>
      <c r="AI140" s="17">
        <f t="shared" si="227"/>
        <v>3193548.9010019996</v>
      </c>
      <c r="AJ140" s="17">
        <f t="shared" si="227"/>
        <v>3193548.9010019996</v>
      </c>
      <c r="AK140" s="17">
        <f t="shared" si="227"/>
        <v>3193548.9010019996</v>
      </c>
      <c r="AL140" s="17">
        <f t="shared" si="227"/>
        <v>3193548.9010019996</v>
      </c>
      <c r="AM140" s="17">
        <f t="shared" si="227"/>
        <v>3193548.9010019996</v>
      </c>
      <c r="AN140" s="17">
        <f t="shared" si="227"/>
        <v>3193548.9010019996</v>
      </c>
    </row>
    <row r="141" spans="1:40" x14ac:dyDescent="0.35">
      <c r="A141" s="23" t="s">
        <v>13</v>
      </c>
      <c r="B141" s="24"/>
      <c r="C141" s="1"/>
      <c r="D141" s="1"/>
      <c r="E141" s="25">
        <v>362649.31</v>
      </c>
      <c r="F141" s="25">
        <v>430067.69</v>
      </c>
      <c r="G141" s="25">
        <v>398340.65</v>
      </c>
      <c r="H141" s="26">
        <v>423434.92</v>
      </c>
      <c r="I141" s="27">
        <v>394885.68</v>
      </c>
      <c r="J141" s="28">
        <v>376905</v>
      </c>
      <c r="K141" s="28">
        <v>523056</v>
      </c>
      <c r="L141" s="17">
        <v>440295</v>
      </c>
      <c r="M141" s="267">
        <v>506340</v>
      </c>
      <c r="N141" s="18">
        <f t="shared" si="224"/>
        <v>379755</v>
      </c>
      <c r="O141" s="18">
        <f t="shared" si="225"/>
        <v>387350.10000000003</v>
      </c>
      <c r="P141" s="18">
        <f t="shared" si="225"/>
        <v>395097.10200000001</v>
      </c>
      <c r="Q141" s="17">
        <f t="shared" si="226"/>
        <v>403394.14114199998</v>
      </c>
      <c r="R141" s="17">
        <f t="shared" si="222"/>
        <v>403394.14114199998</v>
      </c>
      <c r="S141" s="17">
        <f t="shared" ref="S141:AN141" si="228">R141</f>
        <v>403394.14114199998</v>
      </c>
      <c r="T141" s="17">
        <f t="shared" si="228"/>
        <v>403394.14114199998</v>
      </c>
      <c r="U141" s="17">
        <f t="shared" si="228"/>
        <v>403394.14114199998</v>
      </c>
      <c r="V141" s="17">
        <f t="shared" si="228"/>
        <v>403394.14114199998</v>
      </c>
      <c r="W141" s="17">
        <f t="shared" si="228"/>
        <v>403394.14114199998</v>
      </c>
      <c r="X141" s="17">
        <f t="shared" si="228"/>
        <v>403394.14114199998</v>
      </c>
      <c r="Y141" s="17">
        <f t="shared" si="228"/>
        <v>403394.14114199998</v>
      </c>
      <c r="Z141" s="17">
        <f t="shared" si="228"/>
        <v>403394.14114199998</v>
      </c>
      <c r="AA141" s="17">
        <f t="shared" si="228"/>
        <v>403394.14114199998</v>
      </c>
      <c r="AB141" s="17">
        <f t="shared" si="228"/>
        <v>403394.14114199998</v>
      </c>
      <c r="AC141" s="17">
        <f t="shared" si="228"/>
        <v>403394.14114199998</v>
      </c>
      <c r="AD141" s="17">
        <f t="shared" si="228"/>
        <v>403394.14114199998</v>
      </c>
      <c r="AE141" s="17">
        <f t="shared" si="228"/>
        <v>403394.14114199998</v>
      </c>
      <c r="AF141" s="17">
        <f t="shared" si="228"/>
        <v>403394.14114199998</v>
      </c>
      <c r="AG141" s="17">
        <f t="shared" si="228"/>
        <v>403394.14114199998</v>
      </c>
      <c r="AH141" s="17">
        <f t="shared" si="228"/>
        <v>403394.14114199998</v>
      </c>
      <c r="AI141" s="17">
        <f t="shared" si="228"/>
        <v>403394.14114199998</v>
      </c>
      <c r="AJ141" s="17">
        <f t="shared" si="228"/>
        <v>403394.14114199998</v>
      </c>
      <c r="AK141" s="17">
        <f t="shared" si="228"/>
        <v>403394.14114199998</v>
      </c>
      <c r="AL141" s="17">
        <f t="shared" si="228"/>
        <v>403394.14114199998</v>
      </c>
      <c r="AM141" s="17">
        <f t="shared" si="228"/>
        <v>403394.14114199998</v>
      </c>
      <c r="AN141" s="17">
        <f t="shared" si="228"/>
        <v>403394.14114199998</v>
      </c>
    </row>
    <row r="142" spans="1:40" x14ac:dyDescent="0.35">
      <c r="A142" s="350" t="s">
        <v>14</v>
      </c>
      <c r="B142" s="350"/>
      <c r="C142" s="350"/>
      <c r="D142" s="350"/>
      <c r="E142" s="65">
        <v>4644371.3499999996</v>
      </c>
      <c r="F142" s="65">
        <v>5572957.1399999997</v>
      </c>
      <c r="G142" s="65">
        <v>5749487.8600000003</v>
      </c>
      <c r="H142" s="66">
        <v>5466756.0800000001</v>
      </c>
      <c r="I142" s="67">
        <v>5969608.5899999999</v>
      </c>
      <c r="J142" s="28">
        <v>4844483</v>
      </c>
      <c r="K142" s="28">
        <v>5653484</v>
      </c>
      <c r="L142" s="28">
        <f>K142*0.9</f>
        <v>5088135.6000000006</v>
      </c>
      <c r="M142" s="267">
        <v>8491284</v>
      </c>
      <c r="N142" s="264">
        <f>M142*0.75</f>
        <v>6368463</v>
      </c>
      <c r="O142" s="18">
        <f t="shared" si="225"/>
        <v>6495832.2599999998</v>
      </c>
      <c r="P142" s="18">
        <f t="shared" si="225"/>
        <v>6625748.9051999999</v>
      </c>
      <c r="Q142" s="17">
        <f t="shared" si="226"/>
        <v>6764889.6322091995</v>
      </c>
      <c r="R142" s="17">
        <f t="shared" si="222"/>
        <v>6764889.6322091995</v>
      </c>
      <c r="S142" s="17">
        <f t="shared" ref="S142:AN142" si="229">R142</f>
        <v>6764889.6322091995</v>
      </c>
      <c r="T142" s="17">
        <f t="shared" si="229"/>
        <v>6764889.6322091995</v>
      </c>
      <c r="U142" s="17">
        <f t="shared" si="229"/>
        <v>6764889.6322091995</v>
      </c>
      <c r="V142" s="17">
        <f t="shared" si="229"/>
        <v>6764889.6322091995</v>
      </c>
      <c r="W142" s="17">
        <f t="shared" si="229"/>
        <v>6764889.6322091995</v>
      </c>
      <c r="X142" s="17">
        <f t="shared" si="229"/>
        <v>6764889.6322091995</v>
      </c>
      <c r="Y142" s="17">
        <f t="shared" si="229"/>
        <v>6764889.6322091995</v>
      </c>
      <c r="Z142" s="17">
        <f t="shared" si="229"/>
        <v>6764889.6322091995</v>
      </c>
      <c r="AA142" s="17">
        <f t="shared" si="229"/>
        <v>6764889.6322091995</v>
      </c>
      <c r="AB142" s="17">
        <f t="shared" si="229"/>
        <v>6764889.6322091995</v>
      </c>
      <c r="AC142" s="17">
        <f t="shared" si="229"/>
        <v>6764889.6322091995</v>
      </c>
      <c r="AD142" s="17">
        <f t="shared" si="229"/>
        <v>6764889.6322091995</v>
      </c>
      <c r="AE142" s="17">
        <f t="shared" si="229"/>
        <v>6764889.6322091995</v>
      </c>
      <c r="AF142" s="17">
        <f t="shared" si="229"/>
        <v>6764889.6322091995</v>
      </c>
      <c r="AG142" s="17">
        <f t="shared" si="229"/>
        <v>6764889.6322091995</v>
      </c>
      <c r="AH142" s="17">
        <f t="shared" si="229"/>
        <v>6764889.6322091995</v>
      </c>
      <c r="AI142" s="17">
        <f t="shared" si="229"/>
        <v>6764889.6322091995</v>
      </c>
      <c r="AJ142" s="17">
        <f t="shared" si="229"/>
        <v>6764889.6322091995</v>
      </c>
      <c r="AK142" s="17">
        <f t="shared" si="229"/>
        <v>6764889.6322091995</v>
      </c>
      <c r="AL142" s="17">
        <f t="shared" si="229"/>
        <v>6764889.6322091995</v>
      </c>
      <c r="AM142" s="17">
        <f t="shared" si="229"/>
        <v>6764889.6322091995</v>
      </c>
      <c r="AN142" s="17">
        <f t="shared" si="229"/>
        <v>6764889.6322091995</v>
      </c>
    </row>
    <row r="143" spans="1:40" x14ac:dyDescent="0.35">
      <c r="A143" s="23" t="s">
        <v>15</v>
      </c>
      <c r="B143" s="24"/>
      <c r="C143" s="1"/>
      <c r="D143" s="1"/>
      <c r="E143" s="25">
        <v>3607.07</v>
      </c>
      <c r="F143" s="25">
        <v>3421.5</v>
      </c>
      <c r="G143" s="25">
        <v>4429.8900000000003</v>
      </c>
      <c r="H143" s="26">
        <v>4899.04</v>
      </c>
      <c r="I143" s="27">
        <v>17958.849999999999</v>
      </c>
      <c r="J143" s="28">
        <v>7979</v>
      </c>
      <c r="K143" s="28">
        <v>13265</v>
      </c>
      <c r="L143" s="17">
        <f>4641.68/10*12</f>
        <v>5570.0159999999996</v>
      </c>
      <c r="M143" s="267">
        <v>4764</v>
      </c>
      <c r="N143" s="18">
        <f t="shared" si="224"/>
        <v>3573</v>
      </c>
      <c r="O143" s="18">
        <f t="shared" si="225"/>
        <v>3644.46</v>
      </c>
      <c r="P143" s="18">
        <f t="shared" si="225"/>
        <v>3717.3492000000001</v>
      </c>
      <c r="Q143" s="17">
        <f t="shared" si="226"/>
        <v>3795.4135331999996</v>
      </c>
      <c r="R143" s="17">
        <f t="shared" si="222"/>
        <v>3795.4135331999996</v>
      </c>
      <c r="S143" s="17">
        <f t="shared" ref="S143:AN143" si="230">R143</f>
        <v>3795.4135331999996</v>
      </c>
      <c r="T143" s="17">
        <f t="shared" si="230"/>
        <v>3795.4135331999996</v>
      </c>
      <c r="U143" s="17">
        <f t="shared" si="230"/>
        <v>3795.4135331999996</v>
      </c>
      <c r="V143" s="17">
        <f t="shared" si="230"/>
        <v>3795.4135331999996</v>
      </c>
      <c r="W143" s="17">
        <f t="shared" si="230"/>
        <v>3795.4135331999996</v>
      </c>
      <c r="X143" s="17">
        <f t="shared" si="230"/>
        <v>3795.4135331999996</v>
      </c>
      <c r="Y143" s="17">
        <f t="shared" si="230"/>
        <v>3795.4135331999996</v>
      </c>
      <c r="Z143" s="17">
        <f t="shared" si="230"/>
        <v>3795.4135331999996</v>
      </c>
      <c r="AA143" s="17">
        <f t="shared" si="230"/>
        <v>3795.4135331999996</v>
      </c>
      <c r="AB143" s="17">
        <f t="shared" si="230"/>
        <v>3795.4135331999996</v>
      </c>
      <c r="AC143" s="17">
        <f t="shared" si="230"/>
        <v>3795.4135331999996</v>
      </c>
      <c r="AD143" s="17">
        <f t="shared" si="230"/>
        <v>3795.4135331999996</v>
      </c>
      <c r="AE143" s="17">
        <f t="shared" si="230"/>
        <v>3795.4135331999996</v>
      </c>
      <c r="AF143" s="17">
        <f t="shared" si="230"/>
        <v>3795.4135331999996</v>
      </c>
      <c r="AG143" s="17">
        <f t="shared" si="230"/>
        <v>3795.4135331999996</v>
      </c>
      <c r="AH143" s="17">
        <f t="shared" si="230"/>
        <v>3795.4135331999996</v>
      </c>
      <c r="AI143" s="17">
        <f t="shared" si="230"/>
        <v>3795.4135331999996</v>
      </c>
      <c r="AJ143" s="17">
        <f t="shared" si="230"/>
        <v>3795.4135331999996</v>
      </c>
      <c r="AK143" s="17">
        <f t="shared" si="230"/>
        <v>3795.4135331999996</v>
      </c>
      <c r="AL143" s="17">
        <f t="shared" si="230"/>
        <v>3795.4135331999996</v>
      </c>
      <c r="AM143" s="17">
        <f t="shared" si="230"/>
        <v>3795.4135331999996</v>
      </c>
      <c r="AN143" s="17">
        <f t="shared" si="230"/>
        <v>3795.4135331999996</v>
      </c>
    </row>
    <row r="144" spans="1:40" x14ac:dyDescent="0.35">
      <c r="A144" s="23" t="s">
        <v>16</v>
      </c>
      <c r="B144" s="24"/>
      <c r="C144" s="1"/>
      <c r="D144" s="1"/>
      <c r="E144" s="25">
        <v>152556.35999999999</v>
      </c>
      <c r="F144" s="25">
        <v>152108.82999999999</v>
      </c>
      <c r="G144" s="25">
        <v>162584.51</v>
      </c>
      <c r="H144" s="26">
        <v>143968</v>
      </c>
      <c r="I144" s="27">
        <v>144980.51</v>
      </c>
      <c r="J144" s="28">
        <v>140870</v>
      </c>
      <c r="K144" s="28">
        <v>150274</v>
      </c>
      <c r="L144" s="17">
        <f>145562.52/10*12</f>
        <v>174675.02399999998</v>
      </c>
      <c r="M144" s="267">
        <f>L144*1.15</f>
        <v>200876.27759999994</v>
      </c>
      <c r="N144" s="18">
        <f t="shared" si="224"/>
        <v>150657.20819999996</v>
      </c>
      <c r="O144" s="18">
        <f t="shared" si="225"/>
        <v>153670.35236399996</v>
      </c>
      <c r="P144" s="18">
        <f t="shared" si="225"/>
        <v>156743.75941127996</v>
      </c>
      <c r="Q144" s="17">
        <f t="shared" si="226"/>
        <v>160035.37835891682</v>
      </c>
      <c r="R144" s="17">
        <f t="shared" si="222"/>
        <v>160035.37835891682</v>
      </c>
      <c r="S144" s="17">
        <f t="shared" ref="S144:AN144" si="231">R144</f>
        <v>160035.37835891682</v>
      </c>
      <c r="T144" s="17">
        <f t="shared" si="231"/>
        <v>160035.37835891682</v>
      </c>
      <c r="U144" s="17">
        <f t="shared" si="231"/>
        <v>160035.37835891682</v>
      </c>
      <c r="V144" s="17">
        <f t="shared" si="231"/>
        <v>160035.37835891682</v>
      </c>
      <c r="W144" s="17">
        <f t="shared" si="231"/>
        <v>160035.37835891682</v>
      </c>
      <c r="X144" s="17">
        <f t="shared" si="231"/>
        <v>160035.37835891682</v>
      </c>
      <c r="Y144" s="17">
        <f t="shared" si="231"/>
        <v>160035.37835891682</v>
      </c>
      <c r="Z144" s="17">
        <f t="shared" si="231"/>
        <v>160035.37835891682</v>
      </c>
      <c r="AA144" s="17">
        <f t="shared" si="231"/>
        <v>160035.37835891682</v>
      </c>
      <c r="AB144" s="17">
        <f t="shared" si="231"/>
        <v>160035.37835891682</v>
      </c>
      <c r="AC144" s="17">
        <f t="shared" si="231"/>
        <v>160035.37835891682</v>
      </c>
      <c r="AD144" s="17">
        <f t="shared" si="231"/>
        <v>160035.37835891682</v>
      </c>
      <c r="AE144" s="17">
        <f t="shared" si="231"/>
        <v>160035.37835891682</v>
      </c>
      <c r="AF144" s="17">
        <f t="shared" si="231"/>
        <v>160035.37835891682</v>
      </c>
      <c r="AG144" s="17">
        <f t="shared" si="231"/>
        <v>160035.37835891682</v>
      </c>
      <c r="AH144" s="17">
        <f t="shared" si="231"/>
        <v>160035.37835891682</v>
      </c>
      <c r="AI144" s="17">
        <f t="shared" si="231"/>
        <v>160035.37835891682</v>
      </c>
      <c r="AJ144" s="17">
        <f t="shared" si="231"/>
        <v>160035.37835891682</v>
      </c>
      <c r="AK144" s="17">
        <f t="shared" si="231"/>
        <v>160035.37835891682</v>
      </c>
      <c r="AL144" s="17">
        <f t="shared" si="231"/>
        <v>160035.37835891682</v>
      </c>
      <c r="AM144" s="17">
        <f t="shared" si="231"/>
        <v>160035.37835891682</v>
      </c>
      <c r="AN144" s="17">
        <f t="shared" si="231"/>
        <v>160035.37835891682</v>
      </c>
    </row>
    <row r="145" spans="1:40" x14ac:dyDescent="0.35">
      <c r="A145" s="23" t="s">
        <v>17</v>
      </c>
      <c r="B145" s="24"/>
      <c r="C145" s="1"/>
      <c r="D145" s="1"/>
      <c r="E145" s="25">
        <v>62990.05</v>
      </c>
      <c r="F145" s="25">
        <v>60433.93</v>
      </c>
      <c r="G145" s="25">
        <v>72894.080000000002</v>
      </c>
      <c r="H145" s="25">
        <v>70612.639999999999</v>
      </c>
      <c r="I145" s="27">
        <v>77051.22</v>
      </c>
      <c r="J145" s="28">
        <v>107548</v>
      </c>
      <c r="K145" s="28">
        <v>100323</v>
      </c>
      <c r="L145" s="17">
        <f>173186.7/10*12</f>
        <v>207824.04000000004</v>
      </c>
      <c r="M145" s="267">
        <f>L145*1.15</f>
        <v>238997.64600000004</v>
      </c>
      <c r="N145" s="18">
        <f t="shared" si="224"/>
        <v>179248.23450000002</v>
      </c>
      <c r="O145" s="18">
        <f t="shared" si="225"/>
        <v>182833.19919000001</v>
      </c>
      <c r="P145" s="18">
        <f t="shared" si="225"/>
        <v>186489.86317380003</v>
      </c>
      <c r="Q145" s="17">
        <f t="shared" si="226"/>
        <v>190406.15030044981</v>
      </c>
      <c r="R145" s="17">
        <f t="shared" si="222"/>
        <v>190406.15030044981</v>
      </c>
      <c r="S145" s="17">
        <f t="shared" ref="S145:AN145" si="232">R145</f>
        <v>190406.15030044981</v>
      </c>
      <c r="T145" s="17">
        <f t="shared" si="232"/>
        <v>190406.15030044981</v>
      </c>
      <c r="U145" s="17">
        <f t="shared" si="232"/>
        <v>190406.15030044981</v>
      </c>
      <c r="V145" s="17">
        <f t="shared" si="232"/>
        <v>190406.15030044981</v>
      </c>
      <c r="W145" s="17">
        <f t="shared" si="232"/>
        <v>190406.15030044981</v>
      </c>
      <c r="X145" s="17">
        <f t="shared" si="232"/>
        <v>190406.15030044981</v>
      </c>
      <c r="Y145" s="17">
        <f t="shared" si="232"/>
        <v>190406.15030044981</v>
      </c>
      <c r="Z145" s="17">
        <f t="shared" si="232"/>
        <v>190406.15030044981</v>
      </c>
      <c r="AA145" s="17">
        <f t="shared" si="232"/>
        <v>190406.15030044981</v>
      </c>
      <c r="AB145" s="17">
        <f t="shared" si="232"/>
        <v>190406.15030044981</v>
      </c>
      <c r="AC145" s="17">
        <f t="shared" si="232"/>
        <v>190406.15030044981</v>
      </c>
      <c r="AD145" s="17">
        <f t="shared" si="232"/>
        <v>190406.15030044981</v>
      </c>
      <c r="AE145" s="17">
        <f t="shared" si="232"/>
        <v>190406.15030044981</v>
      </c>
      <c r="AF145" s="17">
        <f t="shared" si="232"/>
        <v>190406.15030044981</v>
      </c>
      <c r="AG145" s="17">
        <f t="shared" si="232"/>
        <v>190406.15030044981</v>
      </c>
      <c r="AH145" s="17">
        <f t="shared" si="232"/>
        <v>190406.15030044981</v>
      </c>
      <c r="AI145" s="17">
        <f t="shared" si="232"/>
        <v>190406.15030044981</v>
      </c>
      <c r="AJ145" s="17">
        <f t="shared" si="232"/>
        <v>190406.15030044981</v>
      </c>
      <c r="AK145" s="17">
        <f t="shared" si="232"/>
        <v>190406.15030044981</v>
      </c>
      <c r="AL145" s="17">
        <f t="shared" si="232"/>
        <v>190406.15030044981</v>
      </c>
      <c r="AM145" s="17">
        <f t="shared" si="232"/>
        <v>190406.15030044981</v>
      </c>
      <c r="AN145" s="17">
        <f t="shared" si="232"/>
        <v>190406.15030044981</v>
      </c>
    </row>
    <row r="146" spans="1:40" x14ac:dyDescent="0.35">
      <c r="A146" s="23" t="s">
        <v>18</v>
      </c>
      <c r="B146" s="24"/>
      <c r="C146" s="1"/>
      <c r="D146" s="1"/>
      <c r="E146" s="25">
        <v>123562.65000000001</v>
      </c>
      <c r="F146" s="25">
        <v>120421.26</v>
      </c>
      <c r="G146" s="25">
        <v>115028.27</v>
      </c>
      <c r="H146" s="26">
        <v>110370.16</v>
      </c>
      <c r="I146" s="27">
        <v>119826.68</v>
      </c>
      <c r="J146" s="28">
        <v>87007</v>
      </c>
      <c r="K146" s="28">
        <v>132462</v>
      </c>
      <c r="L146" s="17">
        <f>113893.01/10*12</f>
        <v>136671.61199999999</v>
      </c>
      <c r="M146" s="267">
        <f>L146*1.15</f>
        <v>157172.35379999998</v>
      </c>
      <c r="N146" s="18">
        <f t="shared" si="224"/>
        <v>117879.26534999999</v>
      </c>
      <c r="O146" s="18">
        <f t="shared" si="225"/>
        <v>120236.85065699999</v>
      </c>
      <c r="P146" s="18">
        <f t="shared" si="225"/>
        <v>122641.58767013998</v>
      </c>
      <c r="Q146" s="17">
        <f t="shared" si="226"/>
        <v>125217.06101121291</v>
      </c>
      <c r="R146" s="17">
        <f t="shared" si="222"/>
        <v>125217.06101121291</v>
      </c>
      <c r="S146" s="17">
        <f t="shared" ref="S146:AN146" si="233">R146</f>
        <v>125217.06101121291</v>
      </c>
      <c r="T146" s="17">
        <f t="shared" si="233"/>
        <v>125217.06101121291</v>
      </c>
      <c r="U146" s="17">
        <f t="shared" si="233"/>
        <v>125217.06101121291</v>
      </c>
      <c r="V146" s="17">
        <f t="shared" si="233"/>
        <v>125217.06101121291</v>
      </c>
      <c r="W146" s="17">
        <f t="shared" si="233"/>
        <v>125217.06101121291</v>
      </c>
      <c r="X146" s="17">
        <f t="shared" si="233"/>
        <v>125217.06101121291</v>
      </c>
      <c r="Y146" s="17">
        <f t="shared" si="233"/>
        <v>125217.06101121291</v>
      </c>
      <c r="Z146" s="17">
        <f t="shared" si="233"/>
        <v>125217.06101121291</v>
      </c>
      <c r="AA146" s="17">
        <f t="shared" si="233"/>
        <v>125217.06101121291</v>
      </c>
      <c r="AB146" s="17">
        <f t="shared" si="233"/>
        <v>125217.06101121291</v>
      </c>
      <c r="AC146" s="17">
        <f t="shared" si="233"/>
        <v>125217.06101121291</v>
      </c>
      <c r="AD146" s="17">
        <f t="shared" si="233"/>
        <v>125217.06101121291</v>
      </c>
      <c r="AE146" s="17">
        <f t="shared" si="233"/>
        <v>125217.06101121291</v>
      </c>
      <c r="AF146" s="17">
        <f t="shared" si="233"/>
        <v>125217.06101121291</v>
      </c>
      <c r="AG146" s="17">
        <f t="shared" si="233"/>
        <v>125217.06101121291</v>
      </c>
      <c r="AH146" s="17">
        <f t="shared" si="233"/>
        <v>125217.06101121291</v>
      </c>
      <c r="AI146" s="17">
        <f t="shared" si="233"/>
        <v>125217.06101121291</v>
      </c>
      <c r="AJ146" s="17">
        <f t="shared" si="233"/>
        <v>125217.06101121291</v>
      </c>
      <c r="AK146" s="17">
        <f t="shared" si="233"/>
        <v>125217.06101121291</v>
      </c>
      <c r="AL146" s="17">
        <f t="shared" si="233"/>
        <v>125217.06101121291</v>
      </c>
      <c r="AM146" s="17">
        <f t="shared" si="233"/>
        <v>125217.06101121291</v>
      </c>
      <c r="AN146" s="17">
        <f t="shared" si="233"/>
        <v>125217.06101121291</v>
      </c>
    </row>
    <row r="147" spans="1:40" x14ac:dyDescent="0.35">
      <c r="A147" s="23" t="s">
        <v>19</v>
      </c>
      <c r="B147" s="24"/>
      <c r="C147" s="1"/>
      <c r="D147" s="1"/>
      <c r="E147" s="25">
        <v>229140.94</v>
      </c>
      <c r="F147" s="25">
        <v>273719.82</v>
      </c>
      <c r="G147" s="25">
        <v>155274.93</v>
      </c>
      <c r="H147" s="29">
        <v>149254.18</v>
      </c>
      <c r="I147" s="27">
        <v>199105.71</v>
      </c>
      <c r="J147" s="28">
        <v>185618</v>
      </c>
      <c r="K147" s="28">
        <v>204682</v>
      </c>
      <c r="L147" s="17">
        <f>199301.94/10*12</f>
        <v>239162.32799999998</v>
      </c>
      <c r="M147" s="267">
        <f>L147*1.15</f>
        <v>275036.67719999998</v>
      </c>
      <c r="N147" s="18">
        <f t="shared" si="224"/>
        <v>206277.50789999997</v>
      </c>
      <c r="O147" s="18">
        <f t="shared" si="225"/>
        <v>210403.05805799997</v>
      </c>
      <c r="P147" s="18">
        <f t="shared" si="225"/>
        <v>214611.11921915997</v>
      </c>
      <c r="Q147" s="17">
        <f t="shared" si="226"/>
        <v>219117.9527227623</v>
      </c>
      <c r="R147" s="17">
        <f t="shared" si="222"/>
        <v>219117.9527227623</v>
      </c>
      <c r="S147" s="17">
        <f t="shared" ref="S147:AN147" si="234">R147</f>
        <v>219117.9527227623</v>
      </c>
      <c r="T147" s="17">
        <f t="shared" si="234"/>
        <v>219117.9527227623</v>
      </c>
      <c r="U147" s="17">
        <f t="shared" si="234"/>
        <v>219117.9527227623</v>
      </c>
      <c r="V147" s="17">
        <f t="shared" si="234"/>
        <v>219117.9527227623</v>
      </c>
      <c r="W147" s="17">
        <f t="shared" si="234"/>
        <v>219117.9527227623</v>
      </c>
      <c r="X147" s="17">
        <f t="shared" si="234"/>
        <v>219117.9527227623</v>
      </c>
      <c r="Y147" s="17">
        <f t="shared" si="234"/>
        <v>219117.9527227623</v>
      </c>
      <c r="Z147" s="17">
        <f t="shared" si="234"/>
        <v>219117.9527227623</v>
      </c>
      <c r="AA147" s="17">
        <f t="shared" si="234"/>
        <v>219117.9527227623</v>
      </c>
      <c r="AB147" s="17">
        <f t="shared" si="234"/>
        <v>219117.9527227623</v>
      </c>
      <c r="AC147" s="17">
        <f t="shared" si="234"/>
        <v>219117.9527227623</v>
      </c>
      <c r="AD147" s="17">
        <f t="shared" si="234"/>
        <v>219117.9527227623</v>
      </c>
      <c r="AE147" s="17">
        <f t="shared" si="234"/>
        <v>219117.9527227623</v>
      </c>
      <c r="AF147" s="17">
        <f t="shared" si="234"/>
        <v>219117.9527227623</v>
      </c>
      <c r="AG147" s="17">
        <f t="shared" si="234"/>
        <v>219117.9527227623</v>
      </c>
      <c r="AH147" s="17">
        <f t="shared" si="234"/>
        <v>219117.9527227623</v>
      </c>
      <c r="AI147" s="17">
        <f t="shared" si="234"/>
        <v>219117.9527227623</v>
      </c>
      <c r="AJ147" s="17">
        <f t="shared" si="234"/>
        <v>219117.9527227623</v>
      </c>
      <c r="AK147" s="17">
        <f t="shared" si="234"/>
        <v>219117.9527227623</v>
      </c>
      <c r="AL147" s="17">
        <f t="shared" si="234"/>
        <v>219117.9527227623</v>
      </c>
      <c r="AM147" s="17">
        <f t="shared" si="234"/>
        <v>219117.9527227623</v>
      </c>
      <c r="AN147" s="17">
        <f t="shared" si="234"/>
        <v>219117.9527227623</v>
      </c>
    </row>
    <row r="148" spans="1:40" x14ac:dyDescent="0.35">
      <c r="A148" s="23"/>
      <c r="B148" s="24"/>
      <c r="C148" s="1"/>
      <c r="D148" s="1"/>
      <c r="E148" s="30"/>
      <c r="F148" s="30"/>
      <c r="G148" s="30"/>
      <c r="H148" s="31"/>
      <c r="I148" s="32"/>
      <c r="J148" s="17"/>
      <c r="K148" s="17"/>
      <c r="L148" s="17"/>
      <c r="M148" s="18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</row>
    <row r="149" spans="1:40" x14ac:dyDescent="0.35">
      <c r="A149" s="1" t="s">
        <v>20</v>
      </c>
      <c r="B149" s="1"/>
      <c r="C149" s="1"/>
      <c r="D149" s="1"/>
      <c r="E149" s="17">
        <v>894342</v>
      </c>
      <c r="F149" s="17">
        <v>826176</v>
      </c>
      <c r="G149" s="17">
        <v>789479</v>
      </c>
      <c r="H149" s="17">
        <v>829632</v>
      </c>
      <c r="I149" s="17">
        <v>990433</v>
      </c>
      <c r="J149" s="17">
        <v>908070</v>
      </c>
      <c r="K149" s="17">
        <v>938139</v>
      </c>
      <c r="L149" s="17">
        <v>2479749</v>
      </c>
      <c r="M149" s="18">
        <v>3550913</v>
      </c>
      <c r="N149" s="17">
        <f>M149*1.02</f>
        <v>3621931.2600000002</v>
      </c>
      <c r="O149" s="17">
        <f>N149*1.03</f>
        <v>3730589.1978000002</v>
      </c>
      <c r="P149" s="17">
        <f t="shared" ref="P149" si="235">O149*1.02</f>
        <v>3805200.9817560003</v>
      </c>
      <c r="Q149" s="17">
        <f>P149*0.4</f>
        <v>1522080.3927024002</v>
      </c>
      <c r="R149" s="17">
        <f t="shared" ref="R149" si="236">Q149*0.4</f>
        <v>608832.15708096011</v>
      </c>
      <c r="S149" s="17">
        <f>R149</f>
        <v>608832.15708096011</v>
      </c>
      <c r="T149" s="17">
        <f t="shared" ref="T149:AN149" si="237">S149</f>
        <v>608832.15708096011</v>
      </c>
      <c r="U149" s="17">
        <f t="shared" si="237"/>
        <v>608832.15708096011</v>
      </c>
      <c r="V149" s="17">
        <f t="shared" si="237"/>
        <v>608832.15708096011</v>
      </c>
      <c r="W149" s="17">
        <f t="shared" si="237"/>
        <v>608832.15708096011</v>
      </c>
      <c r="X149" s="17">
        <f t="shared" si="237"/>
        <v>608832.15708096011</v>
      </c>
      <c r="Y149" s="17">
        <f t="shared" si="237"/>
        <v>608832.15708096011</v>
      </c>
      <c r="Z149" s="17">
        <f t="shared" si="237"/>
        <v>608832.15708096011</v>
      </c>
      <c r="AA149" s="17">
        <f t="shared" si="237"/>
        <v>608832.15708096011</v>
      </c>
      <c r="AB149" s="17">
        <f t="shared" si="237"/>
        <v>608832.15708096011</v>
      </c>
      <c r="AC149" s="17">
        <f t="shared" si="237"/>
        <v>608832.15708096011</v>
      </c>
      <c r="AD149" s="17">
        <f t="shared" si="237"/>
        <v>608832.15708096011</v>
      </c>
      <c r="AE149" s="17">
        <f t="shared" si="237"/>
        <v>608832.15708096011</v>
      </c>
      <c r="AF149" s="17">
        <f t="shared" si="237"/>
        <v>608832.15708096011</v>
      </c>
      <c r="AG149" s="17">
        <f t="shared" si="237"/>
        <v>608832.15708096011</v>
      </c>
      <c r="AH149" s="17">
        <f t="shared" si="237"/>
        <v>608832.15708096011</v>
      </c>
      <c r="AI149" s="17">
        <f t="shared" si="237"/>
        <v>608832.15708096011</v>
      </c>
      <c r="AJ149" s="17">
        <f t="shared" si="237"/>
        <v>608832.15708096011</v>
      </c>
      <c r="AK149" s="17">
        <f t="shared" si="237"/>
        <v>608832.15708096011</v>
      </c>
      <c r="AL149" s="17">
        <f t="shared" si="237"/>
        <v>608832.15708096011</v>
      </c>
      <c r="AM149" s="17">
        <f t="shared" si="237"/>
        <v>608832.15708096011</v>
      </c>
      <c r="AN149" s="17">
        <f t="shared" si="237"/>
        <v>608832.15708096011</v>
      </c>
    </row>
    <row r="150" spans="1:40" x14ac:dyDescent="0.35">
      <c r="A150" s="19" t="s">
        <v>21</v>
      </c>
      <c r="B150" s="19"/>
      <c r="C150" s="19"/>
      <c r="D150" s="1"/>
      <c r="E150" s="21">
        <f t="shared" ref="E150:AN150" si="238">E149/E128</f>
        <v>2.5775536887317919E-2</v>
      </c>
      <c r="F150" s="21">
        <f t="shared" si="238"/>
        <v>2.1446023111188272E-2</v>
      </c>
      <c r="G150" s="21">
        <f t="shared" si="238"/>
        <v>2.0113279884511288E-2</v>
      </c>
      <c r="H150" s="21">
        <f t="shared" si="238"/>
        <v>2.0244236215356204E-2</v>
      </c>
      <c r="I150" s="21">
        <f t="shared" si="238"/>
        <v>2.1193360870232374E-2</v>
      </c>
      <c r="J150" s="21">
        <f t="shared" si="238"/>
        <v>1.9237312492766702E-2</v>
      </c>
      <c r="K150" s="21">
        <f t="shared" si="238"/>
        <v>1.7461385732630175E-2</v>
      </c>
      <c r="L150" s="21">
        <f t="shared" si="238"/>
        <v>4.5392314585964655E-2</v>
      </c>
      <c r="M150" s="265">
        <f t="shared" si="238"/>
        <v>4.6959207166094856E-2</v>
      </c>
      <c r="N150" s="21">
        <f t="shared" si="238"/>
        <v>4.9375634306547705E-2</v>
      </c>
      <c r="O150" s="21">
        <f t="shared" si="238"/>
        <v>4.9505199434713723E-2</v>
      </c>
      <c r="P150" s="21">
        <f t="shared" si="238"/>
        <v>4.9175990455559981E-2</v>
      </c>
      <c r="Q150" s="21">
        <f t="shared" si="238"/>
        <v>1.9897206819284516E-2</v>
      </c>
      <c r="R150" s="21">
        <f t="shared" si="238"/>
        <v>8.0550464832029496E-3</v>
      </c>
      <c r="S150" s="21">
        <f t="shared" si="238"/>
        <v>8.0550464832029496E-3</v>
      </c>
      <c r="T150" s="21">
        <f t="shared" si="238"/>
        <v>8.0550464832029496E-3</v>
      </c>
      <c r="U150" s="21">
        <f t="shared" si="238"/>
        <v>8.0550464832029496E-3</v>
      </c>
      <c r="V150" s="21">
        <f t="shared" si="238"/>
        <v>8.0550464832029496E-3</v>
      </c>
      <c r="W150" s="21">
        <f t="shared" si="238"/>
        <v>8.0550464832029496E-3</v>
      </c>
      <c r="X150" s="21">
        <f t="shared" si="238"/>
        <v>8.0550464832029496E-3</v>
      </c>
      <c r="Y150" s="21">
        <f t="shared" si="238"/>
        <v>8.0550464832029496E-3</v>
      </c>
      <c r="Z150" s="21">
        <f t="shared" si="238"/>
        <v>8.0550464832029496E-3</v>
      </c>
      <c r="AA150" s="21">
        <f t="shared" si="238"/>
        <v>8.0550464832029496E-3</v>
      </c>
      <c r="AB150" s="21">
        <f t="shared" si="238"/>
        <v>8.0550464832029496E-3</v>
      </c>
      <c r="AC150" s="21">
        <f t="shared" si="238"/>
        <v>8.0550464832029496E-3</v>
      </c>
      <c r="AD150" s="21">
        <f t="shared" si="238"/>
        <v>8.0550464832029496E-3</v>
      </c>
      <c r="AE150" s="21">
        <f t="shared" si="238"/>
        <v>8.0550464832029496E-3</v>
      </c>
      <c r="AF150" s="21">
        <f t="shared" si="238"/>
        <v>8.0550464832029496E-3</v>
      </c>
      <c r="AG150" s="21">
        <f t="shared" si="238"/>
        <v>8.0550464832029496E-3</v>
      </c>
      <c r="AH150" s="21">
        <f t="shared" si="238"/>
        <v>8.0550464832029496E-3</v>
      </c>
      <c r="AI150" s="21">
        <f t="shared" si="238"/>
        <v>8.0550464832029496E-3</v>
      </c>
      <c r="AJ150" s="21">
        <f t="shared" si="238"/>
        <v>8.0550464832029496E-3</v>
      </c>
      <c r="AK150" s="21">
        <f t="shared" si="238"/>
        <v>8.0550464832029496E-3</v>
      </c>
      <c r="AL150" s="21">
        <f t="shared" si="238"/>
        <v>8.0550464832029496E-3</v>
      </c>
      <c r="AM150" s="21">
        <f t="shared" si="238"/>
        <v>8.0550464832029496E-3</v>
      </c>
      <c r="AN150" s="21">
        <f t="shared" si="238"/>
        <v>8.0550464832029496E-3</v>
      </c>
    </row>
    <row r="151" spans="1:40" x14ac:dyDescent="0.35">
      <c r="A151" s="1"/>
      <c r="B151" s="1"/>
      <c r="C151" s="1"/>
      <c r="D151" s="1"/>
      <c r="E151" s="17"/>
      <c r="F151" s="17"/>
      <c r="G151" s="17"/>
      <c r="H151" s="17"/>
      <c r="I151" s="17"/>
      <c r="J151" s="17"/>
      <c r="K151" s="17"/>
      <c r="L151" s="17"/>
      <c r="M151" s="18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</row>
    <row r="152" spans="1:40" x14ac:dyDescent="0.35">
      <c r="A152" s="1" t="s">
        <v>22</v>
      </c>
      <c r="B152" s="1"/>
      <c r="C152" s="1"/>
      <c r="D152" s="1"/>
      <c r="E152" s="17">
        <v>19781518</v>
      </c>
      <c r="F152" s="17">
        <v>21640696</v>
      </c>
      <c r="G152" s="17">
        <v>22437470</v>
      </c>
      <c r="H152" s="17">
        <v>24024092</v>
      </c>
      <c r="I152" s="17">
        <v>28033807</v>
      </c>
      <c r="J152" s="17">
        <v>31130657</v>
      </c>
      <c r="K152" s="17">
        <f>SUM(K155:K159)</f>
        <v>34980945.210000001</v>
      </c>
      <c r="L152" s="17">
        <f t="shared" ref="L152" si="239">SUM(L155:L159)</f>
        <v>34814726</v>
      </c>
      <c r="M152" s="18">
        <v>48978777.960000001</v>
      </c>
      <c r="N152" s="17">
        <f>SUM(N155:N159)</f>
        <v>49958353.560000002</v>
      </c>
      <c r="O152" s="17">
        <f t="shared" ref="O152:AN152" si="240">SUM(O155:O159)</f>
        <v>51457104.166800015</v>
      </c>
      <c r="P152" s="17">
        <f t="shared" si="240"/>
        <v>53000817.291804008</v>
      </c>
      <c r="Q152" s="17">
        <f t="shared" si="240"/>
        <v>54590841.810558125</v>
      </c>
      <c r="R152" s="17">
        <f t="shared" si="240"/>
        <v>54590841.810558125</v>
      </c>
      <c r="S152" s="17">
        <f t="shared" si="240"/>
        <v>54590841.810558125</v>
      </c>
      <c r="T152" s="17">
        <f t="shared" si="240"/>
        <v>54590841.810558125</v>
      </c>
      <c r="U152" s="17">
        <f t="shared" si="240"/>
        <v>54590841.810558125</v>
      </c>
      <c r="V152" s="17">
        <f t="shared" si="240"/>
        <v>54590841.810558125</v>
      </c>
      <c r="W152" s="17">
        <f t="shared" si="240"/>
        <v>54590841.810558125</v>
      </c>
      <c r="X152" s="17">
        <f t="shared" si="240"/>
        <v>54590841.810558125</v>
      </c>
      <c r="Y152" s="17">
        <f t="shared" si="240"/>
        <v>54590841.810558125</v>
      </c>
      <c r="Z152" s="17">
        <f t="shared" si="240"/>
        <v>54590841.810558125</v>
      </c>
      <c r="AA152" s="17">
        <f t="shared" si="240"/>
        <v>54590841.810558125</v>
      </c>
      <c r="AB152" s="17">
        <f t="shared" si="240"/>
        <v>54590841.810558125</v>
      </c>
      <c r="AC152" s="17">
        <f t="shared" si="240"/>
        <v>54590841.810558125</v>
      </c>
      <c r="AD152" s="17">
        <f t="shared" si="240"/>
        <v>54590841.810558125</v>
      </c>
      <c r="AE152" s="17">
        <f t="shared" si="240"/>
        <v>54590841.810558125</v>
      </c>
      <c r="AF152" s="17">
        <f t="shared" si="240"/>
        <v>54590841.810558125</v>
      </c>
      <c r="AG152" s="17">
        <f t="shared" si="240"/>
        <v>54590841.810558125</v>
      </c>
      <c r="AH152" s="17">
        <f t="shared" si="240"/>
        <v>54590841.810558125</v>
      </c>
      <c r="AI152" s="17">
        <f t="shared" si="240"/>
        <v>54590841.810558125</v>
      </c>
      <c r="AJ152" s="17">
        <f t="shared" si="240"/>
        <v>54590841.810558125</v>
      </c>
      <c r="AK152" s="17">
        <f t="shared" si="240"/>
        <v>54590841.810558125</v>
      </c>
      <c r="AL152" s="17">
        <f t="shared" si="240"/>
        <v>54590841.810558125</v>
      </c>
      <c r="AM152" s="17">
        <f t="shared" si="240"/>
        <v>54590841.810558125</v>
      </c>
      <c r="AN152" s="17">
        <f t="shared" si="240"/>
        <v>54590841.810558125</v>
      </c>
    </row>
    <row r="153" spans="1:40" x14ac:dyDescent="0.35">
      <c r="A153" s="19" t="s">
        <v>23</v>
      </c>
      <c r="B153" s="19"/>
      <c r="C153" s="19"/>
      <c r="D153" s="1"/>
      <c r="E153" s="21">
        <f t="shared" ref="E153:AN153" si="241">E152/E128</f>
        <v>0.57011662976371835</v>
      </c>
      <c r="F153" s="21">
        <f t="shared" si="241"/>
        <v>0.56175302424447038</v>
      </c>
      <c r="G153" s="21">
        <f t="shared" si="241"/>
        <v>0.57163156209389421</v>
      </c>
      <c r="H153" s="21">
        <f t="shared" si="241"/>
        <v>0.58622304022439975</v>
      </c>
      <c r="I153" s="21">
        <f t="shared" si="241"/>
        <v>0.59986954020862226</v>
      </c>
      <c r="J153" s="21">
        <f t="shared" si="241"/>
        <v>0.65949781053678158</v>
      </c>
      <c r="K153" s="21">
        <f t="shared" si="241"/>
        <v>0.65109304442498595</v>
      </c>
      <c r="L153" s="21">
        <f t="shared" si="241"/>
        <v>0.63729070757409834</v>
      </c>
      <c r="M153" s="265">
        <f t="shared" si="241"/>
        <v>0.64772203119755423</v>
      </c>
      <c r="N153" s="21">
        <f t="shared" si="241"/>
        <v>0.68105251559516777</v>
      </c>
      <c r="O153" s="21">
        <f t="shared" si="241"/>
        <v>0.68283964517254281</v>
      </c>
      <c r="P153" s="21">
        <f t="shared" si="241"/>
        <v>0.68494875770684316</v>
      </c>
      <c r="Q153" s="21">
        <f t="shared" si="241"/>
        <v>0.71363199680602951</v>
      </c>
      <c r="R153" s="21">
        <f t="shared" si="241"/>
        <v>0.72225450516528966</v>
      </c>
      <c r="S153" s="21">
        <f t="shared" si="241"/>
        <v>0.72225450516528966</v>
      </c>
      <c r="T153" s="21">
        <f t="shared" si="241"/>
        <v>0.72225450516528966</v>
      </c>
      <c r="U153" s="21">
        <f t="shared" si="241"/>
        <v>0.72225450516528966</v>
      </c>
      <c r="V153" s="21">
        <f t="shared" si="241"/>
        <v>0.72225450516528966</v>
      </c>
      <c r="W153" s="21">
        <f t="shared" si="241"/>
        <v>0.72225450516528966</v>
      </c>
      <c r="X153" s="21">
        <f t="shared" si="241"/>
        <v>0.72225450516528966</v>
      </c>
      <c r="Y153" s="21">
        <f t="shared" si="241"/>
        <v>0.72225450516528966</v>
      </c>
      <c r="Z153" s="21">
        <f t="shared" si="241"/>
        <v>0.72225450516528966</v>
      </c>
      <c r="AA153" s="21">
        <f t="shared" si="241"/>
        <v>0.72225450516528966</v>
      </c>
      <c r="AB153" s="21">
        <f t="shared" si="241"/>
        <v>0.72225450516528966</v>
      </c>
      <c r="AC153" s="21">
        <f t="shared" si="241"/>
        <v>0.72225450516528966</v>
      </c>
      <c r="AD153" s="21">
        <f t="shared" si="241"/>
        <v>0.72225450516528966</v>
      </c>
      <c r="AE153" s="21">
        <f t="shared" si="241"/>
        <v>0.72225450516528966</v>
      </c>
      <c r="AF153" s="21">
        <f t="shared" si="241"/>
        <v>0.72225450516528966</v>
      </c>
      <c r="AG153" s="21">
        <f t="shared" si="241"/>
        <v>0.72225450516528966</v>
      </c>
      <c r="AH153" s="21">
        <f t="shared" si="241"/>
        <v>0.72225450516528966</v>
      </c>
      <c r="AI153" s="21">
        <f t="shared" si="241"/>
        <v>0.72225450516528966</v>
      </c>
      <c r="AJ153" s="21">
        <f t="shared" si="241"/>
        <v>0.72225450516528966</v>
      </c>
      <c r="AK153" s="21">
        <f t="shared" si="241"/>
        <v>0.72225450516528966</v>
      </c>
      <c r="AL153" s="21">
        <f t="shared" si="241"/>
        <v>0.72225450516528966</v>
      </c>
      <c r="AM153" s="21">
        <f t="shared" si="241"/>
        <v>0.72225450516528966</v>
      </c>
      <c r="AN153" s="21">
        <f t="shared" si="241"/>
        <v>0.72225450516528966</v>
      </c>
    </row>
    <row r="154" spans="1:40" x14ac:dyDescent="0.35">
      <c r="A154" s="1"/>
      <c r="B154" s="1"/>
      <c r="C154" s="1"/>
      <c r="D154" s="1"/>
      <c r="E154" s="17"/>
      <c r="F154" s="17"/>
      <c r="G154" s="17"/>
      <c r="H154" s="17"/>
      <c r="I154" s="17"/>
      <c r="J154" s="17"/>
      <c r="K154" s="17"/>
      <c r="L154" s="15">
        <f t="shared" ref="L154:AN154" si="242">(L152-K152)/K152</f>
        <v>-4.7517072223789945E-3</v>
      </c>
      <c r="M154" s="18"/>
      <c r="N154" s="15">
        <f t="shared" si="242"/>
        <v>2.0000000833013874E-2</v>
      </c>
      <c r="O154" s="15">
        <f t="shared" si="242"/>
        <v>3.0000000000000245E-2</v>
      </c>
      <c r="P154" s="15">
        <f t="shared" si="242"/>
        <v>2.9999999999999867E-2</v>
      </c>
      <c r="Q154" s="15">
        <f t="shared" si="242"/>
        <v>2.9999999999999943E-2</v>
      </c>
      <c r="R154" s="15">
        <f t="shared" si="242"/>
        <v>0</v>
      </c>
      <c r="S154" s="15">
        <f t="shared" si="242"/>
        <v>0</v>
      </c>
      <c r="T154" s="15">
        <f t="shared" si="242"/>
        <v>0</v>
      </c>
      <c r="U154" s="15">
        <f t="shared" si="242"/>
        <v>0</v>
      </c>
      <c r="V154" s="15">
        <f t="shared" si="242"/>
        <v>0</v>
      </c>
      <c r="W154" s="15">
        <f t="shared" si="242"/>
        <v>0</v>
      </c>
      <c r="X154" s="15">
        <f t="shared" si="242"/>
        <v>0</v>
      </c>
      <c r="Y154" s="15">
        <f t="shared" si="242"/>
        <v>0</v>
      </c>
      <c r="Z154" s="15">
        <f t="shared" si="242"/>
        <v>0</v>
      </c>
      <c r="AA154" s="15">
        <f t="shared" si="242"/>
        <v>0</v>
      </c>
      <c r="AB154" s="15">
        <f t="shared" si="242"/>
        <v>0</v>
      </c>
      <c r="AC154" s="15">
        <f t="shared" si="242"/>
        <v>0</v>
      </c>
      <c r="AD154" s="15">
        <f t="shared" si="242"/>
        <v>0</v>
      </c>
      <c r="AE154" s="15">
        <f t="shared" si="242"/>
        <v>0</v>
      </c>
      <c r="AF154" s="15">
        <f t="shared" si="242"/>
        <v>0</v>
      </c>
      <c r="AG154" s="15">
        <f t="shared" si="242"/>
        <v>0</v>
      </c>
      <c r="AH154" s="15">
        <f t="shared" si="242"/>
        <v>0</v>
      </c>
      <c r="AI154" s="15">
        <f t="shared" si="242"/>
        <v>0</v>
      </c>
      <c r="AJ154" s="15">
        <f t="shared" si="242"/>
        <v>0</v>
      </c>
      <c r="AK154" s="15">
        <f t="shared" si="242"/>
        <v>0</v>
      </c>
      <c r="AL154" s="15">
        <f t="shared" si="242"/>
        <v>0</v>
      </c>
      <c r="AM154" s="15">
        <f t="shared" si="242"/>
        <v>0</v>
      </c>
      <c r="AN154" s="15">
        <f t="shared" si="242"/>
        <v>0</v>
      </c>
    </row>
    <row r="155" spans="1:40" x14ac:dyDescent="0.35">
      <c r="A155" s="33" t="s">
        <v>24</v>
      </c>
      <c r="B155" s="1"/>
      <c r="C155" s="1"/>
      <c r="D155" s="1"/>
      <c r="E155" s="28">
        <v>14084698</v>
      </c>
      <c r="F155" s="28">
        <v>15396396</v>
      </c>
      <c r="G155" s="28">
        <v>16023348</v>
      </c>
      <c r="H155" s="28">
        <v>17143233</v>
      </c>
      <c r="I155" s="28">
        <v>19911981</v>
      </c>
      <c r="J155" s="28">
        <v>21884114</v>
      </c>
      <c r="K155" s="28">
        <v>24739793.77</v>
      </c>
      <c r="L155" s="17">
        <f>24830121+120533</f>
        <v>24950654</v>
      </c>
      <c r="M155" s="267">
        <v>34990125</v>
      </c>
      <c r="N155" s="17">
        <f>M155*1.02</f>
        <v>35689927.5</v>
      </c>
      <c r="O155" s="17">
        <f t="shared" ref="O155:O159" si="243">N155*1.03</f>
        <v>36760625.325000003</v>
      </c>
      <c r="P155" s="17">
        <f t="shared" ref="P155:P159" si="244">O155*1.03</f>
        <v>37863444.084750004</v>
      </c>
      <c r="Q155" s="17">
        <f t="shared" ref="Q155:Q159" si="245">P155*1.03</f>
        <v>38999347.407292508</v>
      </c>
      <c r="R155" s="17">
        <f>Q155</f>
        <v>38999347.407292508</v>
      </c>
      <c r="S155" s="17">
        <f t="shared" ref="S155:AN155" si="246">R155</f>
        <v>38999347.407292508</v>
      </c>
      <c r="T155" s="17">
        <f t="shared" si="246"/>
        <v>38999347.407292508</v>
      </c>
      <c r="U155" s="17">
        <f t="shared" si="246"/>
        <v>38999347.407292508</v>
      </c>
      <c r="V155" s="17">
        <f t="shared" si="246"/>
        <v>38999347.407292508</v>
      </c>
      <c r="W155" s="17">
        <f t="shared" si="246"/>
        <v>38999347.407292508</v>
      </c>
      <c r="X155" s="17">
        <f t="shared" si="246"/>
        <v>38999347.407292508</v>
      </c>
      <c r="Y155" s="17">
        <f t="shared" si="246"/>
        <v>38999347.407292508</v>
      </c>
      <c r="Z155" s="17">
        <f t="shared" si="246"/>
        <v>38999347.407292508</v>
      </c>
      <c r="AA155" s="17">
        <f t="shared" si="246"/>
        <v>38999347.407292508</v>
      </c>
      <c r="AB155" s="17">
        <f t="shared" si="246"/>
        <v>38999347.407292508</v>
      </c>
      <c r="AC155" s="17">
        <f t="shared" si="246"/>
        <v>38999347.407292508</v>
      </c>
      <c r="AD155" s="17">
        <f t="shared" si="246"/>
        <v>38999347.407292508</v>
      </c>
      <c r="AE155" s="17">
        <f t="shared" si="246"/>
        <v>38999347.407292508</v>
      </c>
      <c r="AF155" s="17">
        <f t="shared" si="246"/>
        <v>38999347.407292508</v>
      </c>
      <c r="AG155" s="17">
        <f t="shared" si="246"/>
        <v>38999347.407292508</v>
      </c>
      <c r="AH155" s="17">
        <f t="shared" si="246"/>
        <v>38999347.407292508</v>
      </c>
      <c r="AI155" s="17">
        <f t="shared" si="246"/>
        <v>38999347.407292508</v>
      </c>
      <c r="AJ155" s="17">
        <f t="shared" si="246"/>
        <v>38999347.407292508</v>
      </c>
      <c r="AK155" s="17">
        <f t="shared" si="246"/>
        <v>38999347.407292508</v>
      </c>
      <c r="AL155" s="17">
        <f t="shared" si="246"/>
        <v>38999347.407292508</v>
      </c>
      <c r="AM155" s="17">
        <f t="shared" si="246"/>
        <v>38999347.407292508</v>
      </c>
      <c r="AN155" s="17">
        <f t="shared" si="246"/>
        <v>38999347.407292508</v>
      </c>
    </row>
    <row r="156" spans="1:40" x14ac:dyDescent="0.35">
      <c r="A156" s="33" t="s">
        <v>25</v>
      </c>
      <c r="B156" s="1"/>
      <c r="C156" s="1"/>
      <c r="D156" s="1"/>
      <c r="E156" s="28">
        <v>4948811</v>
      </c>
      <c r="F156" s="28">
        <v>5333960</v>
      </c>
      <c r="G156" s="28">
        <v>5545178</v>
      </c>
      <c r="H156" s="28">
        <v>5960289</v>
      </c>
      <c r="I156" s="28">
        <v>6978844</v>
      </c>
      <c r="J156" s="28">
        <v>7705404</v>
      </c>
      <c r="K156" s="28">
        <v>8689948.6400000006</v>
      </c>
      <c r="L156" s="17">
        <v>8715051</v>
      </c>
      <c r="M156" s="267">
        <v>12236965</v>
      </c>
      <c r="N156" s="17">
        <f t="shared" ref="N156:N159" si="247">M156*1.02</f>
        <v>12481704.300000001</v>
      </c>
      <c r="O156" s="17">
        <f t="shared" si="243"/>
        <v>12856155.429000001</v>
      </c>
      <c r="P156" s="17">
        <f t="shared" si="244"/>
        <v>13241840.091870002</v>
      </c>
      <c r="Q156" s="17">
        <f t="shared" si="245"/>
        <v>13639095.294626104</v>
      </c>
      <c r="R156" s="17">
        <f>Q156</f>
        <v>13639095.294626104</v>
      </c>
      <c r="S156" s="17">
        <f t="shared" ref="S156:AN156" si="248">R156</f>
        <v>13639095.294626104</v>
      </c>
      <c r="T156" s="17">
        <f t="shared" si="248"/>
        <v>13639095.294626104</v>
      </c>
      <c r="U156" s="17">
        <f t="shared" si="248"/>
        <v>13639095.294626104</v>
      </c>
      <c r="V156" s="17">
        <f t="shared" si="248"/>
        <v>13639095.294626104</v>
      </c>
      <c r="W156" s="17">
        <f t="shared" si="248"/>
        <v>13639095.294626104</v>
      </c>
      <c r="X156" s="17">
        <f t="shared" si="248"/>
        <v>13639095.294626104</v>
      </c>
      <c r="Y156" s="17">
        <f t="shared" si="248"/>
        <v>13639095.294626104</v>
      </c>
      <c r="Z156" s="17">
        <f t="shared" si="248"/>
        <v>13639095.294626104</v>
      </c>
      <c r="AA156" s="17">
        <f t="shared" si="248"/>
        <v>13639095.294626104</v>
      </c>
      <c r="AB156" s="17">
        <f t="shared" si="248"/>
        <v>13639095.294626104</v>
      </c>
      <c r="AC156" s="17">
        <f t="shared" si="248"/>
        <v>13639095.294626104</v>
      </c>
      <c r="AD156" s="17">
        <f t="shared" si="248"/>
        <v>13639095.294626104</v>
      </c>
      <c r="AE156" s="17">
        <f t="shared" si="248"/>
        <v>13639095.294626104</v>
      </c>
      <c r="AF156" s="17">
        <f t="shared" si="248"/>
        <v>13639095.294626104</v>
      </c>
      <c r="AG156" s="17">
        <f t="shared" si="248"/>
        <v>13639095.294626104</v>
      </c>
      <c r="AH156" s="17">
        <f t="shared" si="248"/>
        <v>13639095.294626104</v>
      </c>
      <c r="AI156" s="17">
        <f t="shared" si="248"/>
        <v>13639095.294626104</v>
      </c>
      <c r="AJ156" s="17">
        <f t="shared" si="248"/>
        <v>13639095.294626104</v>
      </c>
      <c r="AK156" s="17">
        <f t="shared" si="248"/>
        <v>13639095.294626104</v>
      </c>
      <c r="AL156" s="17">
        <f t="shared" si="248"/>
        <v>13639095.294626104</v>
      </c>
      <c r="AM156" s="17">
        <f t="shared" si="248"/>
        <v>13639095.294626104</v>
      </c>
      <c r="AN156" s="17">
        <f t="shared" si="248"/>
        <v>13639095.294626104</v>
      </c>
    </row>
    <row r="157" spans="1:40" x14ac:dyDescent="0.35">
      <c r="A157" s="33" t="s">
        <v>26</v>
      </c>
      <c r="B157" s="1"/>
      <c r="C157" s="1"/>
      <c r="D157" s="1"/>
      <c r="E157" s="28">
        <v>128413</v>
      </c>
      <c r="F157" s="28">
        <v>193746</v>
      </c>
      <c r="G157" s="28">
        <v>219042</v>
      </c>
      <c r="H157" s="28">
        <v>234942</v>
      </c>
      <c r="I157" s="28">
        <v>280675</v>
      </c>
      <c r="J157" s="28">
        <v>305065</v>
      </c>
      <c r="K157" s="28">
        <v>349756.15999999997</v>
      </c>
      <c r="L157" s="17">
        <v>361825</v>
      </c>
      <c r="M157" s="267">
        <v>394017</v>
      </c>
      <c r="N157" s="17">
        <f t="shared" si="247"/>
        <v>401897.34</v>
      </c>
      <c r="O157" s="17">
        <f t="shared" si="243"/>
        <v>413954.26020000002</v>
      </c>
      <c r="P157" s="17">
        <f t="shared" si="244"/>
        <v>426372.88800600002</v>
      </c>
      <c r="Q157" s="17">
        <f t="shared" si="245"/>
        <v>439164.07464618003</v>
      </c>
      <c r="R157" s="17">
        <f>Q157</f>
        <v>439164.07464618003</v>
      </c>
      <c r="S157" s="17">
        <f t="shared" ref="S157:AN157" si="249">R157</f>
        <v>439164.07464618003</v>
      </c>
      <c r="T157" s="17">
        <f t="shared" si="249"/>
        <v>439164.07464618003</v>
      </c>
      <c r="U157" s="17">
        <f t="shared" si="249"/>
        <v>439164.07464618003</v>
      </c>
      <c r="V157" s="17">
        <f t="shared" si="249"/>
        <v>439164.07464618003</v>
      </c>
      <c r="W157" s="17">
        <f t="shared" si="249"/>
        <v>439164.07464618003</v>
      </c>
      <c r="X157" s="17">
        <f t="shared" si="249"/>
        <v>439164.07464618003</v>
      </c>
      <c r="Y157" s="17">
        <f t="shared" si="249"/>
        <v>439164.07464618003</v>
      </c>
      <c r="Z157" s="17">
        <f t="shared" si="249"/>
        <v>439164.07464618003</v>
      </c>
      <c r="AA157" s="17">
        <f t="shared" si="249"/>
        <v>439164.07464618003</v>
      </c>
      <c r="AB157" s="17">
        <f t="shared" si="249"/>
        <v>439164.07464618003</v>
      </c>
      <c r="AC157" s="17">
        <f t="shared" si="249"/>
        <v>439164.07464618003</v>
      </c>
      <c r="AD157" s="17">
        <f t="shared" si="249"/>
        <v>439164.07464618003</v>
      </c>
      <c r="AE157" s="17">
        <f t="shared" si="249"/>
        <v>439164.07464618003</v>
      </c>
      <c r="AF157" s="17">
        <f t="shared" si="249"/>
        <v>439164.07464618003</v>
      </c>
      <c r="AG157" s="17">
        <f t="shared" si="249"/>
        <v>439164.07464618003</v>
      </c>
      <c r="AH157" s="17">
        <f t="shared" si="249"/>
        <v>439164.07464618003</v>
      </c>
      <c r="AI157" s="17">
        <f t="shared" si="249"/>
        <v>439164.07464618003</v>
      </c>
      <c r="AJ157" s="17">
        <f t="shared" si="249"/>
        <v>439164.07464618003</v>
      </c>
      <c r="AK157" s="17">
        <f t="shared" si="249"/>
        <v>439164.07464618003</v>
      </c>
      <c r="AL157" s="17">
        <f t="shared" si="249"/>
        <v>439164.07464618003</v>
      </c>
      <c r="AM157" s="17">
        <f t="shared" si="249"/>
        <v>439164.07464618003</v>
      </c>
      <c r="AN157" s="17">
        <f t="shared" si="249"/>
        <v>439164.07464618003</v>
      </c>
    </row>
    <row r="158" spans="1:40" x14ac:dyDescent="0.35">
      <c r="A158" s="33" t="s">
        <v>27</v>
      </c>
      <c r="B158" s="1"/>
      <c r="C158" s="1"/>
      <c r="D158" s="1"/>
      <c r="E158" s="28">
        <v>616640</v>
      </c>
      <c r="F158" s="28">
        <v>715323</v>
      </c>
      <c r="G158" s="28">
        <v>646371</v>
      </c>
      <c r="H158" s="28">
        <v>683118</v>
      </c>
      <c r="I158" s="28">
        <v>861117</v>
      </c>
      <c r="J158" s="28">
        <v>1236075</v>
      </c>
      <c r="K158" s="28">
        <v>1200186.6399999999</v>
      </c>
      <c r="L158" s="17">
        <v>773600</v>
      </c>
      <c r="M158" s="267">
        <v>1345671</v>
      </c>
      <c r="N158" s="17">
        <f t="shared" si="247"/>
        <v>1372584.42</v>
      </c>
      <c r="O158" s="17">
        <f t="shared" si="243"/>
        <v>1413761.9526</v>
      </c>
      <c r="P158" s="17">
        <f t="shared" si="244"/>
        <v>1456174.8111779999</v>
      </c>
      <c r="Q158" s="17">
        <f t="shared" si="245"/>
        <v>1499860.05551334</v>
      </c>
      <c r="R158" s="17">
        <f>Q158</f>
        <v>1499860.05551334</v>
      </c>
      <c r="S158" s="17">
        <f t="shared" ref="S158:AN158" si="250">R158</f>
        <v>1499860.05551334</v>
      </c>
      <c r="T158" s="17">
        <f t="shared" si="250"/>
        <v>1499860.05551334</v>
      </c>
      <c r="U158" s="17">
        <f t="shared" si="250"/>
        <v>1499860.05551334</v>
      </c>
      <c r="V158" s="17">
        <f t="shared" si="250"/>
        <v>1499860.05551334</v>
      </c>
      <c r="W158" s="17">
        <f t="shared" si="250"/>
        <v>1499860.05551334</v>
      </c>
      <c r="X158" s="17">
        <f t="shared" si="250"/>
        <v>1499860.05551334</v>
      </c>
      <c r="Y158" s="17">
        <f t="shared" si="250"/>
        <v>1499860.05551334</v>
      </c>
      <c r="Z158" s="17">
        <f t="shared" si="250"/>
        <v>1499860.05551334</v>
      </c>
      <c r="AA158" s="17">
        <f t="shared" si="250"/>
        <v>1499860.05551334</v>
      </c>
      <c r="AB158" s="17">
        <f t="shared" si="250"/>
        <v>1499860.05551334</v>
      </c>
      <c r="AC158" s="17">
        <f t="shared" si="250"/>
        <v>1499860.05551334</v>
      </c>
      <c r="AD158" s="17">
        <f t="shared" si="250"/>
        <v>1499860.05551334</v>
      </c>
      <c r="AE158" s="17">
        <f t="shared" si="250"/>
        <v>1499860.05551334</v>
      </c>
      <c r="AF158" s="17">
        <f t="shared" si="250"/>
        <v>1499860.05551334</v>
      </c>
      <c r="AG158" s="17">
        <f t="shared" si="250"/>
        <v>1499860.05551334</v>
      </c>
      <c r="AH158" s="17">
        <f t="shared" si="250"/>
        <v>1499860.05551334</v>
      </c>
      <c r="AI158" s="17">
        <f t="shared" si="250"/>
        <v>1499860.05551334</v>
      </c>
      <c r="AJ158" s="17">
        <f t="shared" si="250"/>
        <v>1499860.05551334</v>
      </c>
      <c r="AK158" s="17">
        <f t="shared" si="250"/>
        <v>1499860.05551334</v>
      </c>
      <c r="AL158" s="17">
        <f t="shared" si="250"/>
        <v>1499860.05551334</v>
      </c>
      <c r="AM158" s="17">
        <f t="shared" si="250"/>
        <v>1499860.05551334</v>
      </c>
      <c r="AN158" s="17">
        <f t="shared" si="250"/>
        <v>1499860.05551334</v>
      </c>
    </row>
    <row r="159" spans="1:40" x14ac:dyDescent="0.35">
      <c r="A159" s="33" t="s">
        <v>28</v>
      </c>
      <c r="B159" s="1"/>
      <c r="C159" s="1"/>
      <c r="D159" s="1"/>
      <c r="E159" s="28">
        <v>2956</v>
      </c>
      <c r="F159" s="28">
        <v>1272</v>
      </c>
      <c r="G159" s="28">
        <v>3531</v>
      </c>
      <c r="H159" s="28">
        <v>2508</v>
      </c>
      <c r="I159" s="28">
        <v>1190</v>
      </c>
      <c r="J159" s="28">
        <v>0</v>
      </c>
      <c r="K159" s="28">
        <v>1260</v>
      </c>
      <c r="L159" s="17">
        <v>13596</v>
      </c>
      <c r="M159" s="267">
        <v>12000</v>
      </c>
      <c r="N159" s="17">
        <f t="shared" si="247"/>
        <v>12240</v>
      </c>
      <c r="O159" s="17">
        <f t="shared" si="243"/>
        <v>12607.2</v>
      </c>
      <c r="P159" s="17">
        <f t="shared" si="244"/>
        <v>12985.416000000001</v>
      </c>
      <c r="Q159" s="17">
        <f t="shared" si="245"/>
        <v>13374.978480000002</v>
      </c>
      <c r="R159" s="17">
        <f>Q159</f>
        <v>13374.978480000002</v>
      </c>
      <c r="S159" s="17">
        <f t="shared" ref="S159:AN159" si="251">R159</f>
        <v>13374.978480000002</v>
      </c>
      <c r="T159" s="17">
        <f t="shared" si="251"/>
        <v>13374.978480000002</v>
      </c>
      <c r="U159" s="17">
        <f t="shared" si="251"/>
        <v>13374.978480000002</v>
      </c>
      <c r="V159" s="17">
        <f t="shared" si="251"/>
        <v>13374.978480000002</v>
      </c>
      <c r="W159" s="17">
        <f t="shared" si="251"/>
        <v>13374.978480000002</v>
      </c>
      <c r="X159" s="17">
        <f t="shared" si="251"/>
        <v>13374.978480000002</v>
      </c>
      <c r="Y159" s="17">
        <f t="shared" si="251"/>
        <v>13374.978480000002</v>
      </c>
      <c r="Z159" s="17">
        <f t="shared" si="251"/>
        <v>13374.978480000002</v>
      </c>
      <c r="AA159" s="17">
        <f t="shared" si="251"/>
        <v>13374.978480000002</v>
      </c>
      <c r="AB159" s="17">
        <f t="shared" si="251"/>
        <v>13374.978480000002</v>
      </c>
      <c r="AC159" s="17">
        <f t="shared" si="251"/>
        <v>13374.978480000002</v>
      </c>
      <c r="AD159" s="17">
        <f t="shared" si="251"/>
        <v>13374.978480000002</v>
      </c>
      <c r="AE159" s="17">
        <f t="shared" si="251"/>
        <v>13374.978480000002</v>
      </c>
      <c r="AF159" s="17">
        <f t="shared" si="251"/>
        <v>13374.978480000002</v>
      </c>
      <c r="AG159" s="17">
        <f t="shared" si="251"/>
        <v>13374.978480000002</v>
      </c>
      <c r="AH159" s="17">
        <f t="shared" si="251"/>
        <v>13374.978480000002</v>
      </c>
      <c r="AI159" s="17">
        <f t="shared" si="251"/>
        <v>13374.978480000002</v>
      </c>
      <c r="AJ159" s="17">
        <f t="shared" si="251"/>
        <v>13374.978480000002</v>
      </c>
      <c r="AK159" s="17">
        <f t="shared" si="251"/>
        <v>13374.978480000002</v>
      </c>
      <c r="AL159" s="17">
        <f t="shared" si="251"/>
        <v>13374.978480000002</v>
      </c>
      <c r="AM159" s="17">
        <f t="shared" si="251"/>
        <v>13374.978480000002</v>
      </c>
      <c r="AN159" s="17">
        <f t="shared" si="251"/>
        <v>13374.978480000002</v>
      </c>
    </row>
    <row r="160" spans="1:40" x14ac:dyDescent="0.35">
      <c r="A160" s="1"/>
      <c r="B160" s="1"/>
      <c r="C160" s="1"/>
      <c r="D160" s="1"/>
      <c r="E160" s="17"/>
      <c r="F160" s="17"/>
      <c r="G160" s="17"/>
      <c r="H160" s="17"/>
      <c r="I160" s="17"/>
      <c r="J160" s="17"/>
      <c r="K160" s="17"/>
      <c r="L160" s="17"/>
      <c r="M160" s="18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</row>
    <row r="161" spans="1:40" x14ac:dyDescent="0.35">
      <c r="A161" s="325" t="s">
        <v>29</v>
      </c>
      <c r="B161" s="325"/>
      <c r="C161" s="1"/>
      <c r="D161" s="1"/>
      <c r="E161" s="17">
        <v>829368</v>
      </c>
      <c r="F161" s="17">
        <v>1102040</v>
      </c>
      <c r="G161" s="17">
        <v>672641</v>
      </c>
      <c r="H161" s="17">
        <v>814391</v>
      </c>
      <c r="I161" s="17">
        <v>797112</v>
      </c>
      <c r="J161" s="17">
        <v>695583</v>
      </c>
      <c r="K161" s="17">
        <v>784814</v>
      </c>
      <c r="L161" s="17">
        <v>834152</v>
      </c>
      <c r="M161" s="18">
        <v>959280</v>
      </c>
      <c r="N161" s="17">
        <f>M161*1.02</f>
        <v>978465.6</v>
      </c>
      <c r="O161" s="17">
        <f>N161*1.02</f>
        <v>998034.91200000001</v>
      </c>
      <c r="P161" s="17">
        <f t="shared" ref="P161" si="252">O161*1.02</f>
        <v>1017995.6102400001</v>
      </c>
      <c r="Q161" s="17">
        <f>P161*0.4</f>
        <v>407198.24409600004</v>
      </c>
      <c r="R161" s="17">
        <f>Q161</f>
        <v>407198.24409600004</v>
      </c>
      <c r="S161" s="17">
        <f t="shared" ref="S161:AN161" si="253">R161</f>
        <v>407198.24409600004</v>
      </c>
      <c r="T161" s="17">
        <f t="shared" si="253"/>
        <v>407198.24409600004</v>
      </c>
      <c r="U161" s="17">
        <f t="shared" si="253"/>
        <v>407198.24409600004</v>
      </c>
      <c r="V161" s="17">
        <f t="shared" si="253"/>
        <v>407198.24409600004</v>
      </c>
      <c r="W161" s="17">
        <f t="shared" si="253"/>
        <v>407198.24409600004</v>
      </c>
      <c r="X161" s="17">
        <f t="shared" si="253"/>
        <v>407198.24409600004</v>
      </c>
      <c r="Y161" s="17">
        <f t="shared" si="253"/>
        <v>407198.24409600004</v>
      </c>
      <c r="Z161" s="17">
        <f t="shared" si="253"/>
        <v>407198.24409600004</v>
      </c>
      <c r="AA161" s="17">
        <f t="shared" si="253"/>
        <v>407198.24409600004</v>
      </c>
      <c r="AB161" s="17">
        <f t="shared" si="253"/>
        <v>407198.24409600004</v>
      </c>
      <c r="AC161" s="17">
        <f t="shared" si="253"/>
        <v>407198.24409600004</v>
      </c>
      <c r="AD161" s="17">
        <f t="shared" si="253"/>
        <v>407198.24409600004</v>
      </c>
      <c r="AE161" s="17">
        <f t="shared" si="253"/>
        <v>407198.24409600004</v>
      </c>
      <c r="AF161" s="17">
        <f t="shared" si="253"/>
        <v>407198.24409600004</v>
      </c>
      <c r="AG161" s="17">
        <f t="shared" si="253"/>
        <v>407198.24409600004</v>
      </c>
      <c r="AH161" s="17">
        <f t="shared" si="253"/>
        <v>407198.24409600004</v>
      </c>
      <c r="AI161" s="17">
        <f t="shared" si="253"/>
        <v>407198.24409600004</v>
      </c>
      <c r="AJ161" s="17">
        <f t="shared" si="253"/>
        <v>407198.24409600004</v>
      </c>
      <c r="AK161" s="17">
        <f t="shared" si="253"/>
        <v>407198.24409600004</v>
      </c>
      <c r="AL161" s="17">
        <f t="shared" si="253"/>
        <v>407198.24409600004</v>
      </c>
      <c r="AM161" s="17">
        <f t="shared" si="253"/>
        <v>407198.24409600004</v>
      </c>
      <c r="AN161" s="17">
        <f t="shared" si="253"/>
        <v>407198.24409600004</v>
      </c>
    </row>
    <row r="162" spans="1:40" x14ac:dyDescent="0.35">
      <c r="A162" s="34" t="s">
        <v>30</v>
      </c>
      <c r="B162" s="34"/>
      <c r="C162" s="19"/>
      <c r="D162" s="19"/>
      <c r="E162" s="21">
        <f t="shared" ref="E162:AN162" si="254">E161/E128</f>
        <v>2.3902942584784218E-2</v>
      </c>
      <c r="F162" s="21">
        <f t="shared" si="254"/>
        <v>2.8606949741282636E-2</v>
      </c>
      <c r="G162" s="21">
        <f t="shared" si="254"/>
        <v>1.7136639093373679E-2</v>
      </c>
      <c r="H162" s="21">
        <f t="shared" si="254"/>
        <v>1.987233348720897E-2</v>
      </c>
      <c r="I162" s="21">
        <f t="shared" si="254"/>
        <v>1.7056663368438519E-2</v>
      </c>
      <c r="J162" s="21">
        <f t="shared" si="254"/>
        <v>1.4735810604530645E-2</v>
      </c>
      <c r="K162" s="21">
        <f t="shared" si="254"/>
        <v>1.4607579455036426E-2</v>
      </c>
      <c r="L162" s="21">
        <f t="shared" si="254"/>
        <v>1.5269323627718608E-2</v>
      </c>
      <c r="M162" s="265">
        <f t="shared" si="254"/>
        <v>1.2686041097118255E-2</v>
      </c>
      <c r="N162" s="21">
        <f t="shared" si="254"/>
        <v>1.3338839469619525E-2</v>
      </c>
      <c r="O162" s="21">
        <f t="shared" si="254"/>
        <v>1.3243998398564966E-2</v>
      </c>
      <c r="P162" s="21">
        <f t="shared" si="254"/>
        <v>1.3155925968951683E-2</v>
      </c>
      <c r="Q162" s="21">
        <f t="shared" si="254"/>
        <v>5.323048452679037E-3</v>
      </c>
      <c r="R162" s="21">
        <f t="shared" si="254"/>
        <v>5.3873645567570436E-3</v>
      </c>
      <c r="S162" s="21">
        <f t="shared" si="254"/>
        <v>5.3873645567570436E-3</v>
      </c>
      <c r="T162" s="21">
        <f t="shared" si="254"/>
        <v>5.3873645567570436E-3</v>
      </c>
      <c r="U162" s="21">
        <f t="shared" si="254"/>
        <v>5.3873645567570436E-3</v>
      </c>
      <c r="V162" s="21">
        <f t="shared" si="254"/>
        <v>5.3873645567570436E-3</v>
      </c>
      <c r="W162" s="21">
        <f t="shared" si="254"/>
        <v>5.3873645567570436E-3</v>
      </c>
      <c r="X162" s="21">
        <f t="shared" si="254"/>
        <v>5.3873645567570436E-3</v>
      </c>
      <c r="Y162" s="21">
        <f t="shared" si="254"/>
        <v>5.3873645567570436E-3</v>
      </c>
      <c r="Z162" s="21">
        <f t="shared" si="254"/>
        <v>5.3873645567570436E-3</v>
      </c>
      <c r="AA162" s="21">
        <f t="shared" si="254"/>
        <v>5.3873645567570436E-3</v>
      </c>
      <c r="AB162" s="21">
        <f t="shared" si="254"/>
        <v>5.3873645567570436E-3</v>
      </c>
      <c r="AC162" s="21">
        <f t="shared" si="254"/>
        <v>5.3873645567570436E-3</v>
      </c>
      <c r="AD162" s="21">
        <f t="shared" si="254"/>
        <v>5.3873645567570436E-3</v>
      </c>
      <c r="AE162" s="21">
        <f t="shared" si="254"/>
        <v>5.3873645567570436E-3</v>
      </c>
      <c r="AF162" s="21">
        <f t="shared" si="254"/>
        <v>5.3873645567570436E-3</v>
      </c>
      <c r="AG162" s="21">
        <f t="shared" si="254"/>
        <v>5.3873645567570436E-3</v>
      </c>
      <c r="AH162" s="21">
        <f t="shared" si="254"/>
        <v>5.3873645567570436E-3</v>
      </c>
      <c r="AI162" s="21">
        <f t="shared" si="254"/>
        <v>5.3873645567570436E-3</v>
      </c>
      <c r="AJ162" s="21">
        <f t="shared" si="254"/>
        <v>5.3873645567570436E-3</v>
      </c>
      <c r="AK162" s="21">
        <f t="shared" si="254"/>
        <v>5.3873645567570436E-3</v>
      </c>
      <c r="AL162" s="21">
        <f t="shared" si="254"/>
        <v>5.3873645567570436E-3</v>
      </c>
      <c r="AM162" s="21">
        <f t="shared" si="254"/>
        <v>5.3873645567570436E-3</v>
      </c>
      <c r="AN162" s="21">
        <f t="shared" si="254"/>
        <v>5.3873645567570436E-3</v>
      </c>
    </row>
    <row r="163" spans="1:40" x14ac:dyDescent="0.35">
      <c r="A163" s="35"/>
      <c r="B163" s="35"/>
      <c r="C163" s="1"/>
      <c r="D163" s="1"/>
      <c r="E163" s="17"/>
      <c r="F163" s="17"/>
      <c r="G163" s="17"/>
      <c r="H163" s="17"/>
      <c r="I163" s="17"/>
      <c r="J163" s="17"/>
      <c r="K163" s="17"/>
      <c r="L163" s="17"/>
      <c r="M163" s="18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  <c r="AN163" s="17"/>
    </row>
    <row r="164" spans="1:40" x14ac:dyDescent="0.35">
      <c r="A164" s="325" t="s">
        <v>31</v>
      </c>
      <c r="B164" s="325"/>
      <c r="C164" s="1"/>
      <c r="D164" s="1"/>
      <c r="E164" s="17">
        <v>2441149</v>
      </c>
      <c r="F164" s="17">
        <v>2578108</v>
      </c>
      <c r="G164" s="17">
        <v>2600122</v>
      </c>
      <c r="H164" s="17">
        <v>2907040</v>
      </c>
      <c r="I164" s="17">
        <v>3105273</v>
      </c>
      <c r="J164" s="17">
        <v>2728798</v>
      </c>
      <c r="K164" s="36">
        <v>2952173</v>
      </c>
      <c r="L164" s="17">
        <v>3248925</v>
      </c>
      <c r="M164" s="18">
        <v>3736260</v>
      </c>
      <c r="N164" s="17">
        <f>M164*1.02</f>
        <v>3810985.2</v>
      </c>
      <c r="O164" s="17">
        <f>N164*1.02</f>
        <v>3887204.9040000001</v>
      </c>
      <c r="P164" s="17">
        <f>O164*1.02</f>
        <v>3964949.00208</v>
      </c>
      <c r="Q164" s="17">
        <f>P164*1.025</f>
        <v>4064072.7271319996</v>
      </c>
      <c r="R164" s="17">
        <f>Q164</f>
        <v>4064072.7271319996</v>
      </c>
      <c r="S164" s="17">
        <f t="shared" ref="S164:AN164" si="255">R164</f>
        <v>4064072.7271319996</v>
      </c>
      <c r="T164" s="17">
        <f t="shared" si="255"/>
        <v>4064072.7271319996</v>
      </c>
      <c r="U164" s="17">
        <f t="shared" si="255"/>
        <v>4064072.7271319996</v>
      </c>
      <c r="V164" s="17">
        <f t="shared" si="255"/>
        <v>4064072.7271319996</v>
      </c>
      <c r="W164" s="17">
        <f t="shared" si="255"/>
        <v>4064072.7271319996</v>
      </c>
      <c r="X164" s="17">
        <f t="shared" si="255"/>
        <v>4064072.7271319996</v>
      </c>
      <c r="Y164" s="17">
        <f t="shared" si="255"/>
        <v>4064072.7271319996</v>
      </c>
      <c r="Z164" s="17">
        <f t="shared" si="255"/>
        <v>4064072.7271319996</v>
      </c>
      <c r="AA164" s="17">
        <f t="shared" si="255"/>
        <v>4064072.7271319996</v>
      </c>
      <c r="AB164" s="17">
        <f t="shared" si="255"/>
        <v>4064072.7271319996</v>
      </c>
      <c r="AC164" s="17">
        <f t="shared" si="255"/>
        <v>4064072.7271319996</v>
      </c>
      <c r="AD164" s="17">
        <f t="shared" si="255"/>
        <v>4064072.7271319996</v>
      </c>
      <c r="AE164" s="17">
        <f t="shared" si="255"/>
        <v>4064072.7271319996</v>
      </c>
      <c r="AF164" s="17">
        <f t="shared" si="255"/>
        <v>4064072.7271319996</v>
      </c>
      <c r="AG164" s="17">
        <f t="shared" si="255"/>
        <v>4064072.7271319996</v>
      </c>
      <c r="AH164" s="17">
        <f t="shared" si="255"/>
        <v>4064072.7271319996</v>
      </c>
      <c r="AI164" s="17">
        <f t="shared" si="255"/>
        <v>4064072.7271319996</v>
      </c>
      <c r="AJ164" s="17">
        <f t="shared" si="255"/>
        <v>4064072.7271319996</v>
      </c>
      <c r="AK164" s="17">
        <f t="shared" si="255"/>
        <v>4064072.7271319996</v>
      </c>
      <c r="AL164" s="17">
        <f t="shared" si="255"/>
        <v>4064072.7271319996</v>
      </c>
      <c r="AM164" s="17">
        <f t="shared" si="255"/>
        <v>4064072.7271319996</v>
      </c>
      <c r="AN164" s="17">
        <f t="shared" si="255"/>
        <v>4064072.7271319996</v>
      </c>
    </row>
    <row r="165" spans="1:40" x14ac:dyDescent="0.35">
      <c r="A165" s="37" t="s">
        <v>32</v>
      </c>
      <c r="B165" s="37"/>
      <c r="C165" s="1"/>
      <c r="D165" s="1"/>
      <c r="E165" s="21">
        <f t="shared" ref="E165:AN165" si="256">E164/E128</f>
        <v>7.0355553129495485E-2</v>
      </c>
      <c r="F165" s="21">
        <f t="shared" si="256"/>
        <v>6.6922984631772611E-2</v>
      </c>
      <c r="G165" s="21">
        <f t="shared" si="256"/>
        <v>6.624239722636735E-2</v>
      </c>
      <c r="H165" s="21">
        <f t="shared" si="256"/>
        <v>7.0936034829284664E-2</v>
      </c>
      <c r="I165" s="21">
        <f t="shared" si="256"/>
        <v>6.644686848034051E-2</v>
      </c>
      <c r="J165" s="21">
        <f t="shared" si="256"/>
        <v>5.7809133498118864E-2</v>
      </c>
      <c r="K165" s="38">
        <f t="shared" si="256"/>
        <v>5.4948180922502976E-2</v>
      </c>
      <c r="L165" s="38">
        <f t="shared" si="256"/>
        <v>5.9472239192839761E-2</v>
      </c>
      <c r="M165" s="268">
        <f t="shared" si="256"/>
        <v>4.9410336825034457E-2</v>
      </c>
      <c r="N165" s="38">
        <f t="shared" si="256"/>
        <v>5.1952894208949059E-2</v>
      </c>
      <c r="O165" s="38">
        <f t="shared" si="256"/>
        <v>5.1583501643547594E-2</v>
      </c>
      <c r="P165" s="38">
        <f t="shared" si="256"/>
        <v>5.1240471979771718E-2</v>
      </c>
      <c r="Q165" s="38">
        <f t="shared" si="256"/>
        <v>5.3127085775534093E-2</v>
      </c>
      <c r="R165" s="38">
        <f t="shared" si="256"/>
        <v>5.3768997493692648E-2</v>
      </c>
      <c r="S165" s="38">
        <f t="shared" si="256"/>
        <v>5.3768997493692648E-2</v>
      </c>
      <c r="T165" s="38">
        <f t="shared" si="256"/>
        <v>5.3768997493692648E-2</v>
      </c>
      <c r="U165" s="38">
        <f t="shared" si="256"/>
        <v>5.3768997493692648E-2</v>
      </c>
      <c r="V165" s="38">
        <f t="shared" si="256"/>
        <v>5.3768997493692648E-2</v>
      </c>
      <c r="W165" s="38">
        <f t="shared" si="256"/>
        <v>5.3768997493692648E-2</v>
      </c>
      <c r="X165" s="38">
        <f t="shared" si="256"/>
        <v>5.3768997493692648E-2</v>
      </c>
      <c r="Y165" s="38">
        <f t="shared" si="256"/>
        <v>5.3768997493692648E-2</v>
      </c>
      <c r="Z165" s="38">
        <f t="shared" si="256"/>
        <v>5.3768997493692648E-2</v>
      </c>
      <c r="AA165" s="38">
        <f t="shared" si="256"/>
        <v>5.3768997493692648E-2</v>
      </c>
      <c r="AB165" s="38">
        <f t="shared" si="256"/>
        <v>5.3768997493692648E-2</v>
      </c>
      <c r="AC165" s="38">
        <f t="shared" si="256"/>
        <v>5.3768997493692648E-2</v>
      </c>
      <c r="AD165" s="38">
        <f t="shared" si="256"/>
        <v>5.3768997493692648E-2</v>
      </c>
      <c r="AE165" s="38">
        <f t="shared" si="256"/>
        <v>5.3768997493692648E-2</v>
      </c>
      <c r="AF165" s="38">
        <f t="shared" si="256"/>
        <v>5.3768997493692648E-2</v>
      </c>
      <c r="AG165" s="38">
        <f t="shared" si="256"/>
        <v>5.3768997493692648E-2</v>
      </c>
      <c r="AH165" s="38">
        <f t="shared" si="256"/>
        <v>5.3768997493692648E-2</v>
      </c>
      <c r="AI165" s="38">
        <f t="shared" si="256"/>
        <v>5.3768997493692648E-2</v>
      </c>
      <c r="AJ165" s="38">
        <f t="shared" si="256"/>
        <v>5.3768997493692648E-2</v>
      </c>
      <c r="AK165" s="38">
        <f t="shared" si="256"/>
        <v>5.3768997493692648E-2</v>
      </c>
      <c r="AL165" s="38">
        <f t="shared" si="256"/>
        <v>5.3768997493692648E-2</v>
      </c>
      <c r="AM165" s="38">
        <f t="shared" si="256"/>
        <v>5.3768997493692648E-2</v>
      </c>
      <c r="AN165" s="38">
        <f t="shared" si="256"/>
        <v>5.3768997493692648E-2</v>
      </c>
    </row>
    <row r="166" spans="1:40" x14ac:dyDescent="0.35">
      <c r="A166" s="35"/>
      <c r="B166" s="35"/>
      <c r="C166" s="1"/>
      <c r="D166" s="1"/>
      <c r="E166" s="17"/>
      <c r="F166" s="17"/>
      <c r="G166" s="17"/>
      <c r="H166" s="17"/>
      <c r="I166" s="17"/>
      <c r="J166" s="17"/>
      <c r="K166" s="36"/>
      <c r="L166" s="17"/>
      <c r="M166" s="18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  <c r="AN166" s="17"/>
    </row>
    <row r="167" spans="1:40" x14ac:dyDescent="0.35">
      <c r="A167" s="325" t="s">
        <v>33</v>
      </c>
      <c r="B167" s="325"/>
      <c r="C167" s="1"/>
      <c r="D167" s="1"/>
      <c r="E167" s="17">
        <f t="shared" ref="E167:K167" si="257">SUM(E170:E184)</f>
        <v>2515008</v>
      </c>
      <c r="F167" s="17">
        <f t="shared" si="257"/>
        <v>2807177</v>
      </c>
      <c r="G167" s="17">
        <f t="shared" si="257"/>
        <v>2882523</v>
      </c>
      <c r="H167" s="17">
        <f t="shared" si="257"/>
        <v>2890546</v>
      </c>
      <c r="I167" s="17">
        <f t="shared" si="257"/>
        <v>3188522</v>
      </c>
      <c r="J167" s="39">
        <f t="shared" si="257"/>
        <v>3055778</v>
      </c>
      <c r="K167" s="17">
        <f t="shared" si="257"/>
        <v>3097226.74</v>
      </c>
      <c r="L167" s="17">
        <f>SUM(L170:L184)</f>
        <v>3920723</v>
      </c>
      <c r="M167" s="18">
        <f>SUM(M170:M184)</f>
        <v>4411433</v>
      </c>
      <c r="N167" s="17">
        <f t="shared" ref="N167:AN167" si="258">SUM(N170:N184)</f>
        <v>4499661.66</v>
      </c>
      <c r="O167" s="17">
        <f t="shared" si="258"/>
        <v>4589654.8932000007</v>
      </c>
      <c r="P167" s="17">
        <f t="shared" si="258"/>
        <v>4681447.9910639999</v>
      </c>
      <c r="Q167" s="17">
        <f t="shared" si="258"/>
        <v>4775076.95088528</v>
      </c>
      <c r="R167" s="17">
        <f t="shared" si="258"/>
        <v>4775076.95088528</v>
      </c>
      <c r="S167" s="17">
        <f t="shared" si="258"/>
        <v>4775076.95088528</v>
      </c>
      <c r="T167" s="17">
        <f t="shared" si="258"/>
        <v>4775076.95088528</v>
      </c>
      <c r="U167" s="17">
        <f t="shared" si="258"/>
        <v>4775076.95088528</v>
      </c>
      <c r="V167" s="17">
        <f t="shared" si="258"/>
        <v>4775076.95088528</v>
      </c>
      <c r="W167" s="17">
        <f t="shared" si="258"/>
        <v>4775076.95088528</v>
      </c>
      <c r="X167" s="17">
        <f t="shared" si="258"/>
        <v>4775076.95088528</v>
      </c>
      <c r="Y167" s="17">
        <f t="shared" si="258"/>
        <v>4775076.95088528</v>
      </c>
      <c r="Z167" s="17">
        <f t="shared" si="258"/>
        <v>4775076.95088528</v>
      </c>
      <c r="AA167" s="17">
        <f t="shared" si="258"/>
        <v>4775076.95088528</v>
      </c>
      <c r="AB167" s="17">
        <f t="shared" si="258"/>
        <v>4775076.95088528</v>
      </c>
      <c r="AC167" s="17">
        <f t="shared" si="258"/>
        <v>4775076.95088528</v>
      </c>
      <c r="AD167" s="17">
        <f t="shared" si="258"/>
        <v>4775076.95088528</v>
      </c>
      <c r="AE167" s="17">
        <f t="shared" si="258"/>
        <v>4775076.95088528</v>
      </c>
      <c r="AF167" s="17">
        <f t="shared" si="258"/>
        <v>4775076.95088528</v>
      </c>
      <c r="AG167" s="17">
        <f t="shared" si="258"/>
        <v>4775076.95088528</v>
      </c>
      <c r="AH167" s="17">
        <f t="shared" si="258"/>
        <v>4775076.95088528</v>
      </c>
      <c r="AI167" s="17">
        <f t="shared" si="258"/>
        <v>4775076.95088528</v>
      </c>
      <c r="AJ167" s="17">
        <f t="shared" si="258"/>
        <v>4775076.95088528</v>
      </c>
      <c r="AK167" s="17">
        <f t="shared" si="258"/>
        <v>4775076.95088528</v>
      </c>
      <c r="AL167" s="17">
        <f t="shared" si="258"/>
        <v>4775076.95088528</v>
      </c>
      <c r="AM167" s="17">
        <f t="shared" si="258"/>
        <v>4775076.95088528</v>
      </c>
      <c r="AN167" s="17">
        <f t="shared" si="258"/>
        <v>4775076.95088528</v>
      </c>
    </row>
    <row r="168" spans="1:40" x14ac:dyDescent="0.35">
      <c r="A168" s="34" t="s">
        <v>34</v>
      </c>
      <c r="B168" s="34"/>
      <c r="C168" s="19"/>
      <c r="D168" s="1"/>
      <c r="E168" s="21">
        <f>E167/E128</f>
        <v>7.2484219097280089E-2</v>
      </c>
      <c r="F168" s="21">
        <f>F167/F128</f>
        <v>7.2869198353856995E-2</v>
      </c>
      <c r="G168" s="21">
        <f>G167/G128</f>
        <v>7.3437028562559792E-2</v>
      </c>
      <c r="H168" s="21">
        <f>H167/H128</f>
        <v>7.0533557065485669E-2</v>
      </c>
      <c r="I168" s="21">
        <f>I167/I128</f>
        <v>6.8228236931397748E-2</v>
      </c>
      <c r="J168" s="21"/>
      <c r="K168" s="21">
        <f t="shared" ref="K168:AN168" si="259">K167/K128</f>
        <v>5.7648035961149334E-2</v>
      </c>
      <c r="L168" s="21">
        <f t="shared" si="259"/>
        <v>7.1769639516107112E-2</v>
      </c>
      <c r="M168" s="265">
        <f t="shared" si="259"/>
        <v>5.8339192243332165E-2</v>
      </c>
      <c r="N168" s="21">
        <f t="shared" si="259"/>
        <v>6.1341210718436824E-2</v>
      </c>
      <c r="O168" s="21">
        <f t="shared" si="259"/>
        <v>6.0905065869586196E-2</v>
      </c>
      <c r="P168" s="21">
        <f t="shared" si="259"/>
        <v>6.050004791613546E-2</v>
      </c>
      <c r="Q168" s="21">
        <f t="shared" si="259"/>
        <v>6.2421600150222523E-2</v>
      </c>
      <c r="R168" s="21">
        <f t="shared" si="259"/>
        <v>6.317581348637144E-2</v>
      </c>
      <c r="S168" s="21">
        <f t="shared" si="259"/>
        <v>6.317581348637144E-2</v>
      </c>
      <c r="T168" s="21">
        <f t="shared" si="259"/>
        <v>6.317581348637144E-2</v>
      </c>
      <c r="U168" s="21">
        <f t="shared" si="259"/>
        <v>6.317581348637144E-2</v>
      </c>
      <c r="V168" s="21">
        <f t="shared" si="259"/>
        <v>6.317581348637144E-2</v>
      </c>
      <c r="W168" s="21">
        <f t="shared" si="259"/>
        <v>6.317581348637144E-2</v>
      </c>
      <c r="X168" s="21">
        <f t="shared" si="259"/>
        <v>6.317581348637144E-2</v>
      </c>
      <c r="Y168" s="21">
        <f t="shared" si="259"/>
        <v>6.317581348637144E-2</v>
      </c>
      <c r="Z168" s="21">
        <f t="shared" si="259"/>
        <v>6.317581348637144E-2</v>
      </c>
      <c r="AA168" s="21">
        <f t="shared" si="259"/>
        <v>6.317581348637144E-2</v>
      </c>
      <c r="AB168" s="21">
        <f t="shared" si="259"/>
        <v>6.317581348637144E-2</v>
      </c>
      <c r="AC168" s="21">
        <f t="shared" si="259"/>
        <v>6.317581348637144E-2</v>
      </c>
      <c r="AD168" s="21">
        <f t="shared" si="259"/>
        <v>6.317581348637144E-2</v>
      </c>
      <c r="AE168" s="21">
        <f t="shared" si="259"/>
        <v>6.317581348637144E-2</v>
      </c>
      <c r="AF168" s="21">
        <f t="shared" si="259"/>
        <v>6.317581348637144E-2</v>
      </c>
      <c r="AG168" s="21">
        <f t="shared" si="259"/>
        <v>6.317581348637144E-2</v>
      </c>
      <c r="AH168" s="21">
        <f t="shared" si="259"/>
        <v>6.317581348637144E-2</v>
      </c>
      <c r="AI168" s="21">
        <f t="shared" si="259"/>
        <v>6.317581348637144E-2</v>
      </c>
      <c r="AJ168" s="21">
        <f t="shared" si="259"/>
        <v>6.317581348637144E-2</v>
      </c>
      <c r="AK168" s="21">
        <f t="shared" si="259"/>
        <v>6.317581348637144E-2</v>
      </c>
      <c r="AL168" s="21">
        <f t="shared" si="259"/>
        <v>6.317581348637144E-2</v>
      </c>
      <c r="AM168" s="21">
        <f t="shared" si="259"/>
        <v>6.317581348637144E-2</v>
      </c>
      <c r="AN168" s="21">
        <f t="shared" si="259"/>
        <v>6.317581348637144E-2</v>
      </c>
    </row>
    <row r="169" spans="1:40" x14ac:dyDescent="0.35">
      <c r="A169" s="35"/>
      <c r="B169" s="35"/>
      <c r="C169" s="1"/>
      <c r="D169" s="1"/>
      <c r="E169" s="17"/>
      <c r="F169" s="17"/>
      <c r="G169" s="17"/>
      <c r="H169" s="17"/>
      <c r="I169" s="17"/>
      <c r="J169" s="1"/>
      <c r="K169" s="17"/>
      <c r="L169" s="17"/>
      <c r="M169" s="18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</row>
    <row r="170" spans="1:40" x14ac:dyDescent="0.35">
      <c r="A170" s="33" t="s">
        <v>35</v>
      </c>
      <c r="B170" s="1"/>
      <c r="C170" s="1"/>
      <c r="D170" s="1"/>
      <c r="E170" s="28">
        <v>51175</v>
      </c>
      <c r="F170" s="28">
        <v>50043</v>
      </c>
      <c r="G170" s="28">
        <v>52705</v>
      </c>
      <c r="H170" s="28">
        <v>36656</v>
      </c>
      <c r="I170" s="28">
        <v>40144</v>
      </c>
      <c r="J170" s="40">
        <v>20615</v>
      </c>
      <c r="K170" s="40">
        <v>23350</v>
      </c>
      <c r="L170" s="17">
        <v>29500</v>
      </c>
      <c r="M170" s="267">
        <v>33924</v>
      </c>
      <c r="N170" s="17">
        <f>M170*1.02</f>
        <v>34602.480000000003</v>
      </c>
      <c r="O170" s="17">
        <f>N170*1.02</f>
        <v>35294.529600000002</v>
      </c>
      <c r="P170" s="17">
        <f t="shared" ref="P170:Q175" si="260">O170*1.02</f>
        <v>36000.420192000005</v>
      </c>
      <c r="Q170" s="17">
        <f t="shared" si="260"/>
        <v>36720.428595840007</v>
      </c>
      <c r="R170" s="17">
        <f t="shared" ref="R170:R175" si="261">Q170</f>
        <v>36720.428595840007</v>
      </c>
      <c r="S170" s="17">
        <f t="shared" ref="S170:AN170" si="262">R170</f>
        <v>36720.428595840007</v>
      </c>
      <c r="T170" s="17">
        <f t="shared" si="262"/>
        <v>36720.428595840007</v>
      </c>
      <c r="U170" s="17">
        <f t="shared" si="262"/>
        <v>36720.428595840007</v>
      </c>
      <c r="V170" s="17">
        <f t="shared" si="262"/>
        <v>36720.428595840007</v>
      </c>
      <c r="W170" s="17">
        <f t="shared" si="262"/>
        <v>36720.428595840007</v>
      </c>
      <c r="X170" s="17">
        <f t="shared" si="262"/>
        <v>36720.428595840007</v>
      </c>
      <c r="Y170" s="17">
        <f t="shared" si="262"/>
        <v>36720.428595840007</v>
      </c>
      <c r="Z170" s="17">
        <f t="shared" si="262"/>
        <v>36720.428595840007</v>
      </c>
      <c r="AA170" s="17">
        <f t="shared" si="262"/>
        <v>36720.428595840007</v>
      </c>
      <c r="AB170" s="17">
        <f t="shared" si="262"/>
        <v>36720.428595840007</v>
      </c>
      <c r="AC170" s="17">
        <f t="shared" si="262"/>
        <v>36720.428595840007</v>
      </c>
      <c r="AD170" s="17">
        <f t="shared" si="262"/>
        <v>36720.428595840007</v>
      </c>
      <c r="AE170" s="17">
        <f t="shared" si="262"/>
        <v>36720.428595840007</v>
      </c>
      <c r="AF170" s="17">
        <f t="shared" si="262"/>
        <v>36720.428595840007</v>
      </c>
      <c r="AG170" s="17">
        <f t="shared" si="262"/>
        <v>36720.428595840007</v>
      </c>
      <c r="AH170" s="17">
        <f t="shared" si="262"/>
        <v>36720.428595840007</v>
      </c>
      <c r="AI170" s="17">
        <f t="shared" si="262"/>
        <v>36720.428595840007</v>
      </c>
      <c r="AJ170" s="17">
        <f t="shared" si="262"/>
        <v>36720.428595840007</v>
      </c>
      <c r="AK170" s="17">
        <f t="shared" si="262"/>
        <v>36720.428595840007</v>
      </c>
      <c r="AL170" s="17">
        <f t="shared" si="262"/>
        <v>36720.428595840007</v>
      </c>
      <c r="AM170" s="17">
        <f t="shared" si="262"/>
        <v>36720.428595840007</v>
      </c>
      <c r="AN170" s="17">
        <f t="shared" si="262"/>
        <v>36720.428595840007</v>
      </c>
    </row>
    <row r="171" spans="1:40" x14ac:dyDescent="0.35">
      <c r="A171" s="33" t="s">
        <v>36</v>
      </c>
      <c r="B171" s="1"/>
      <c r="C171" s="35"/>
      <c r="D171" s="1"/>
      <c r="E171" s="28">
        <v>6239</v>
      </c>
      <c r="F171" s="28">
        <v>10117</v>
      </c>
      <c r="G171" s="28">
        <v>10551</v>
      </c>
      <c r="H171" s="28">
        <v>8104</v>
      </c>
      <c r="I171" s="28">
        <v>10186</v>
      </c>
      <c r="J171" s="40">
        <v>3874</v>
      </c>
      <c r="K171" s="40">
        <v>3655</v>
      </c>
      <c r="L171" s="17">
        <v>8173</v>
      </c>
      <c r="M171" s="267">
        <v>9396</v>
      </c>
      <c r="N171" s="17">
        <f t="shared" ref="N171:O184" si="263">M171*1.02</f>
        <v>9583.92</v>
      </c>
      <c r="O171" s="17">
        <f t="shared" si="263"/>
        <v>9775.5984000000008</v>
      </c>
      <c r="P171" s="17">
        <f t="shared" si="260"/>
        <v>9971.1103680000015</v>
      </c>
      <c r="Q171" s="17">
        <f t="shared" si="260"/>
        <v>10170.532575360001</v>
      </c>
      <c r="R171" s="17">
        <f t="shared" si="261"/>
        <v>10170.532575360001</v>
      </c>
      <c r="S171" s="17">
        <f t="shared" ref="S171:AN171" si="264">R171</f>
        <v>10170.532575360001</v>
      </c>
      <c r="T171" s="17">
        <f t="shared" si="264"/>
        <v>10170.532575360001</v>
      </c>
      <c r="U171" s="17">
        <f t="shared" si="264"/>
        <v>10170.532575360001</v>
      </c>
      <c r="V171" s="17">
        <f t="shared" si="264"/>
        <v>10170.532575360001</v>
      </c>
      <c r="W171" s="17">
        <f t="shared" si="264"/>
        <v>10170.532575360001</v>
      </c>
      <c r="X171" s="17">
        <f t="shared" si="264"/>
        <v>10170.532575360001</v>
      </c>
      <c r="Y171" s="17">
        <f t="shared" si="264"/>
        <v>10170.532575360001</v>
      </c>
      <c r="Z171" s="17">
        <f t="shared" si="264"/>
        <v>10170.532575360001</v>
      </c>
      <c r="AA171" s="17">
        <f t="shared" si="264"/>
        <v>10170.532575360001</v>
      </c>
      <c r="AB171" s="17">
        <f t="shared" si="264"/>
        <v>10170.532575360001</v>
      </c>
      <c r="AC171" s="17">
        <f t="shared" si="264"/>
        <v>10170.532575360001</v>
      </c>
      <c r="AD171" s="17">
        <f t="shared" si="264"/>
        <v>10170.532575360001</v>
      </c>
      <c r="AE171" s="17">
        <f t="shared" si="264"/>
        <v>10170.532575360001</v>
      </c>
      <c r="AF171" s="17">
        <f t="shared" si="264"/>
        <v>10170.532575360001</v>
      </c>
      <c r="AG171" s="17">
        <f t="shared" si="264"/>
        <v>10170.532575360001</v>
      </c>
      <c r="AH171" s="17">
        <f t="shared" si="264"/>
        <v>10170.532575360001</v>
      </c>
      <c r="AI171" s="17">
        <f t="shared" si="264"/>
        <v>10170.532575360001</v>
      </c>
      <c r="AJ171" s="17">
        <f t="shared" si="264"/>
        <v>10170.532575360001</v>
      </c>
      <c r="AK171" s="17">
        <f t="shared" si="264"/>
        <v>10170.532575360001</v>
      </c>
      <c r="AL171" s="17">
        <f t="shared" si="264"/>
        <v>10170.532575360001</v>
      </c>
      <c r="AM171" s="17">
        <f t="shared" si="264"/>
        <v>10170.532575360001</v>
      </c>
      <c r="AN171" s="17">
        <f t="shared" si="264"/>
        <v>10170.532575360001</v>
      </c>
    </row>
    <row r="172" spans="1:40" x14ac:dyDescent="0.35">
      <c r="A172" s="351" t="s">
        <v>37</v>
      </c>
      <c r="B172" s="351"/>
      <c r="C172" s="351"/>
      <c r="D172" s="1"/>
      <c r="E172" s="28">
        <v>2266429</v>
      </c>
      <c r="F172" s="28">
        <v>2254243</v>
      </c>
      <c r="G172" s="28">
        <v>2220994</v>
      </c>
      <c r="H172" s="28">
        <v>2275623</v>
      </c>
      <c r="I172" s="28">
        <v>2654542</v>
      </c>
      <c r="J172" s="41">
        <v>2353356</v>
      </c>
      <c r="K172" s="40">
        <v>2458266</v>
      </c>
      <c r="L172" s="17">
        <v>3089706</v>
      </c>
      <c r="M172" s="267">
        <v>3455777</v>
      </c>
      <c r="N172" s="17">
        <f t="shared" si="263"/>
        <v>3524892.54</v>
      </c>
      <c r="O172" s="17">
        <f t="shared" si="263"/>
        <v>3595390.3908000002</v>
      </c>
      <c r="P172" s="17">
        <f t="shared" si="260"/>
        <v>3667298.1986160004</v>
      </c>
      <c r="Q172" s="17">
        <f t="shared" si="260"/>
        <v>3740644.1625883202</v>
      </c>
      <c r="R172" s="17">
        <f t="shared" si="261"/>
        <v>3740644.1625883202</v>
      </c>
      <c r="S172" s="17">
        <f t="shared" ref="S172:AN172" si="265">R172</f>
        <v>3740644.1625883202</v>
      </c>
      <c r="T172" s="17">
        <f t="shared" si="265"/>
        <v>3740644.1625883202</v>
      </c>
      <c r="U172" s="17">
        <f t="shared" si="265"/>
        <v>3740644.1625883202</v>
      </c>
      <c r="V172" s="17">
        <f t="shared" si="265"/>
        <v>3740644.1625883202</v>
      </c>
      <c r="W172" s="17">
        <f t="shared" si="265"/>
        <v>3740644.1625883202</v>
      </c>
      <c r="X172" s="17">
        <f t="shared" si="265"/>
        <v>3740644.1625883202</v>
      </c>
      <c r="Y172" s="17">
        <f t="shared" si="265"/>
        <v>3740644.1625883202</v>
      </c>
      <c r="Z172" s="17">
        <f t="shared" si="265"/>
        <v>3740644.1625883202</v>
      </c>
      <c r="AA172" s="17">
        <f t="shared" si="265"/>
        <v>3740644.1625883202</v>
      </c>
      <c r="AB172" s="17">
        <f t="shared" si="265"/>
        <v>3740644.1625883202</v>
      </c>
      <c r="AC172" s="17">
        <f t="shared" si="265"/>
        <v>3740644.1625883202</v>
      </c>
      <c r="AD172" s="17">
        <f t="shared" si="265"/>
        <v>3740644.1625883202</v>
      </c>
      <c r="AE172" s="17">
        <f t="shared" si="265"/>
        <v>3740644.1625883202</v>
      </c>
      <c r="AF172" s="17">
        <f t="shared" si="265"/>
        <v>3740644.1625883202</v>
      </c>
      <c r="AG172" s="17">
        <f t="shared" si="265"/>
        <v>3740644.1625883202</v>
      </c>
      <c r="AH172" s="17">
        <f t="shared" si="265"/>
        <v>3740644.1625883202</v>
      </c>
      <c r="AI172" s="17">
        <f t="shared" si="265"/>
        <v>3740644.1625883202</v>
      </c>
      <c r="AJ172" s="17">
        <f t="shared" si="265"/>
        <v>3740644.1625883202</v>
      </c>
      <c r="AK172" s="17">
        <f t="shared" si="265"/>
        <v>3740644.1625883202</v>
      </c>
      <c r="AL172" s="17">
        <f t="shared" si="265"/>
        <v>3740644.1625883202</v>
      </c>
      <c r="AM172" s="17">
        <f t="shared" si="265"/>
        <v>3740644.1625883202</v>
      </c>
      <c r="AN172" s="17">
        <f t="shared" si="265"/>
        <v>3740644.1625883202</v>
      </c>
    </row>
    <row r="173" spans="1:40" x14ac:dyDescent="0.35">
      <c r="A173" s="33" t="s">
        <v>38</v>
      </c>
      <c r="B173" s="1"/>
      <c r="C173" s="1"/>
      <c r="D173" s="1"/>
      <c r="E173" s="28">
        <v>3420</v>
      </c>
      <c r="F173" s="28">
        <v>3097</v>
      </c>
      <c r="G173" s="28">
        <v>3407</v>
      </c>
      <c r="H173" s="28">
        <v>3078</v>
      </c>
      <c r="I173" s="28">
        <v>4155</v>
      </c>
      <c r="J173" s="42">
        <v>4577</v>
      </c>
      <c r="K173" s="28">
        <v>3805.97</v>
      </c>
      <c r="L173" s="17">
        <v>3900</v>
      </c>
      <c r="M173" s="267">
        <v>4200</v>
      </c>
      <c r="N173" s="17">
        <f t="shared" si="263"/>
        <v>4284</v>
      </c>
      <c r="O173" s="17">
        <f t="shared" si="263"/>
        <v>4369.68</v>
      </c>
      <c r="P173" s="17">
        <f t="shared" si="260"/>
        <v>4457.0736000000006</v>
      </c>
      <c r="Q173" s="17">
        <f t="shared" si="260"/>
        <v>4546.2150720000009</v>
      </c>
      <c r="R173" s="17">
        <f t="shared" si="261"/>
        <v>4546.2150720000009</v>
      </c>
      <c r="S173" s="17">
        <f t="shared" ref="S173:AN173" si="266">R173</f>
        <v>4546.2150720000009</v>
      </c>
      <c r="T173" s="17">
        <f t="shared" si="266"/>
        <v>4546.2150720000009</v>
      </c>
      <c r="U173" s="17">
        <f t="shared" si="266"/>
        <v>4546.2150720000009</v>
      </c>
      <c r="V173" s="17">
        <f t="shared" si="266"/>
        <v>4546.2150720000009</v>
      </c>
      <c r="W173" s="17">
        <f t="shared" si="266"/>
        <v>4546.2150720000009</v>
      </c>
      <c r="X173" s="17">
        <f t="shared" si="266"/>
        <v>4546.2150720000009</v>
      </c>
      <c r="Y173" s="17">
        <f t="shared" si="266"/>
        <v>4546.2150720000009</v>
      </c>
      <c r="Z173" s="17">
        <f t="shared" si="266"/>
        <v>4546.2150720000009</v>
      </c>
      <c r="AA173" s="17">
        <f t="shared" si="266"/>
        <v>4546.2150720000009</v>
      </c>
      <c r="AB173" s="17">
        <f t="shared" si="266"/>
        <v>4546.2150720000009</v>
      </c>
      <c r="AC173" s="17">
        <f t="shared" si="266"/>
        <v>4546.2150720000009</v>
      </c>
      <c r="AD173" s="17">
        <f t="shared" si="266"/>
        <v>4546.2150720000009</v>
      </c>
      <c r="AE173" s="17">
        <f t="shared" si="266"/>
        <v>4546.2150720000009</v>
      </c>
      <c r="AF173" s="17">
        <f t="shared" si="266"/>
        <v>4546.2150720000009</v>
      </c>
      <c r="AG173" s="17">
        <f t="shared" si="266"/>
        <v>4546.2150720000009</v>
      </c>
      <c r="AH173" s="17">
        <f t="shared" si="266"/>
        <v>4546.2150720000009</v>
      </c>
      <c r="AI173" s="17">
        <f t="shared" si="266"/>
        <v>4546.2150720000009</v>
      </c>
      <c r="AJ173" s="17">
        <f t="shared" si="266"/>
        <v>4546.2150720000009</v>
      </c>
      <c r="AK173" s="17">
        <f t="shared" si="266"/>
        <v>4546.2150720000009</v>
      </c>
      <c r="AL173" s="17">
        <f t="shared" si="266"/>
        <v>4546.2150720000009</v>
      </c>
      <c r="AM173" s="17">
        <f t="shared" si="266"/>
        <v>4546.2150720000009</v>
      </c>
      <c r="AN173" s="17">
        <f t="shared" si="266"/>
        <v>4546.2150720000009</v>
      </c>
    </row>
    <row r="174" spans="1:40" x14ac:dyDescent="0.35">
      <c r="A174" s="33" t="s">
        <v>39</v>
      </c>
      <c r="B174" s="1"/>
      <c r="C174" s="1"/>
      <c r="D174" s="1"/>
      <c r="E174" s="28">
        <v>10515</v>
      </c>
      <c r="F174" s="28">
        <v>10601</v>
      </c>
      <c r="G174" s="28">
        <v>10601</v>
      </c>
      <c r="H174" s="28">
        <v>10601</v>
      </c>
      <c r="I174" s="28">
        <v>10601</v>
      </c>
      <c r="J174" s="42">
        <v>45315</v>
      </c>
      <c r="K174" s="28">
        <v>45316.37</v>
      </c>
      <c r="L174" s="17">
        <v>45316</v>
      </c>
      <c r="M174" s="267">
        <v>48000</v>
      </c>
      <c r="N174" s="17">
        <f t="shared" si="263"/>
        <v>48960</v>
      </c>
      <c r="O174" s="17">
        <f t="shared" si="263"/>
        <v>49939.200000000004</v>
      </c>
      <c r="P174" s="17">
        <f t="shared" si="260"/>
        <v>50937.984000000004</v>
      </c>
      <c r="Q174" s="17">
        <f t="shared" si="260"/>
        <v>51956.743680000007</v>
      </c>
      <c r="R174" s="17">
        <f t="shared" si="261"/>
        <v>51956.743680000007</v>
      </c>
      <c r="S174" s="17">
        <f t="shared" ref="S174:AN174" si="267">R174</f>
        <v>51956.743680000007</v>
      </c>
      <c r="T174" s="17">
        <f t="shared" si="267"/>
        <v>51956.743680000007</v>
      </c>
      <c r="U174" s="17">
        <f t="shared" si="267"/>
        <v>51956.743680000007</v>
      </c>
      <c r="V174" s="17">
        <f t="shared" si="267"/>
        <v>51956.743680000007</v>
      </c>
      <c r="W174" s="17">
        <f t="shared" si="267"/>
        <v>51956.743680000007</v>
      </c>
      <c r="X174" s="17">
        <f t="shared" si="267"/>
        <v>51956.743680000007</v>
      </c>
      <c r="Y174" s="17">
        <f t="shared" si="267"/>
        <v>51956.743680000007</v>
      </c>
      <c r="Z174" s="17">
        <f t="shared" si="267"/>
        <v>51956.743680000007</v>
      </c>
      <c r="AA174" s="17">
        <f t="shared" si="267"/>
        <v>51956.743680000007</v>
      </c>
      <c r="AB174" s="17">
        <f t="shared" si="267"/>
        <v>51956.743680000007</v>
      </c>
      <c r="AC174" s="17">
        <f t="shared" si="267"/>
        <v>51956.743680000007</v>
      </c>
      <c r="AD174" s="17">
        <f t="shared" si="267"/>
        <v>51956.743680000007</v>
      </c>
      <c r="AE174" s="17">
        <f t="shared" si="267"/>
        <v>51956.743680000007</v>
      </c>
      <c r="AF174" s="17">
        <f t="shared" si="267"/>
        <v>51956.743680000007</v>
      </c>
      <c r="AG174" s="17">
        <f t="shared" si="267"/>
        <v>51956.743680000007</v>
      </c>
      <c r="AH174" s="17">
        <f t="shared" si="267"/>
        <v>51956.743680000007</v>
      </c>
      <c r="AI174" s="17">
        <f t="shared" si="267"/>
        <v>51956.743680000007</v>
      </c>
      <c r="AJ174" s="17">
        <f t="shared" si="267"/>
        <v>51956.743680000007</v>
      </c>
      <c r="AK174" s="17">
        <f t="shared" si="267"/>
        <v>51956.743680000007</v>
      </c>
      <c r="AL174" s="17">
        <f t="shared" si="267"/>
        <v>51956.743680000007</v>
      </c>
      <c r="AM174" s="17">
        <f t="shared" si="267"/>
        <v>51956.743680000007</v>
      </c>
      <c r="AN174" s="17">
        <f t="shared" si="267"/>
        <v>51956.743680000007</v>
      </c>
    </row>
    <row r="175" spans="1:40" x14ac:dyDescent="0.35">
      <c r="A175" s="33" t="s">
        <v>40</v>
      </c>
      <c r="B175" s="1"/>
      <c r="C175" s="1"/>
      <c r="D175" s="1"/>
      <c r="E175" s="28">
        <v>2535</v>
      </c>
      <c r="F175" s="28">
        <v>3494</v>
      </c>
      <c r="G175" s="28">
        <v>4136</v>
      </c>
      <c r="H175" s="28">
        <v>4447</v>
      </c>
      <c r="I175" s="28">
        <v>4221</v>
      </c>
      <c r="J175" s="42">
        <v>6956</v>
      </c>
      <c r="K175" s="28">
        <v>6478.73</v>
      </c>
      <c r="L175" s="17">
        <v>5463</v>
      </c>
      <c r="M175" s="267">
        <v>10680</v>
      </c>
      <c r="N175" s="17">
        <f t="shared" si="263"/>
        <v>10893.6</v>
      </c>
      <c r="O175" s="17">
        <f t="shared" si="263"/>
        <v>11111.472</v>
      </c>
      <c r="P175" s="17">
        <f t="shared" si="260"/>
        <v>11333.701440000001</v>
      </c>
      <c r="Q175" s="17">
        <f t="shared" si="260"/>
        <v>11560.375468800001</v>
      </c>
      <c r="R175" s="17">
        <f t="shared" si="261"/>
        <v>11560.375468800001</v>
      </c>
      <c r="S175" s="17">
        <f t="shared" ref="S175:AN175" si="268">R175</f>
        <v>11560.375468800001</v>
      </c>
      <c r="T175" s="17">
        <f t="shared" si="268"/>
        <v>11560.375468800001</v>
      </c>
      <c r="U175" s="17">
        <f t="shared" si="268"/>
        <v>11560.375468800001</v>
      </c>
      <c r="V175" s="17">
        <f t="shared" si="268"/>
        <v>11560.375468800001</v>
      </c>
      <c r="W175" s="17">
        <f t="shared" si="268"/>
        <v>11560.375468800001</v>
      </c>
      <c r="X175" s="17">
        <f t="shared" si="268"/>
        <v>11560.375468800001</v>
      </c>
      <c r="Y175" s="17">
        <f t="shared" si="268"/>
        <v>11560.375468800001</v>
      </c>
      <c r="Z175" s="17">
        <f t="shared" si="268"/>
        <v>11560.375468800001</v>
      </c>
      <c r="AA175" s="17">
        <f t="shared" si="268"/>
        <v>11560.375468800001</v>
      </c>
      <c r="AB175" s="17">
        <f t="shared" si="268"/>
        <v>11560.375468800001</v>
      </c>
      <c r="AC175" s="17">
        <f t="shared" si="268"/>
        <v>11560.375468800001</v>
      </c>
      <c r="AD175" s="17">
        <f t="shared" si="268"/>
        <v>11560.375468800001</v>
      </c>
      <c r="AE175" s="17">
        <f t="shared" si="268"/>
        <v>11560.375468800001</v>
      </c>
      <c r="AF175" s="17">
        <f t="shared" si="268"/>
        <v>11560.375468800001</v>
      </c>
      <c r="AG175" s="17">
        <f t="shared" si="268"/>
        <v>11560.375468800001</v>
      </c>
      <c r="AH175" s="17">
        <f t="shared" si="268"/>
        <v>11560.375468800001</v>
      </c>
      <c r="AI175" s="17">
        <f t="shared" si="268"/>
        <v>11560.375468800001</v>
      </c>
      <c r="AJ175" s="17">
        <f t="shared" si="268"/>
        <v>11560.375468800001</v>
      </c>
      <c r="AK175" s="17">
        <f t="shared" si="268"/>
        <v>11560.375468800001</v>
      </c>
      <c r="AL175" s="17">
        <f t="shared" si="268"/>
        <v>11560.375468800001</v>
      </c>
      <c r="AM175" s="17">
        <f t="shared" si="268"/>
        <v>11560.375468800001</v>
      </c>
      <c r="AN175" s="17">
        <f t="shared" si="268"/>
        <v>11560.375468800001</v>
      </c>
    </row>
    <row r="176" spans="1:40" x14ac:dyDescent="0.35">
      <c r="A176" s="43" t="s">
        <v>41</v>
      </c>
      <c r="B176" s="1"/>
      <c r="C176" s="1"/>
      <c r="D176" s="1"/>
      <c r="E176" s="28">
        <v>2084</v>
      </c>
      <c r="F176" s="28">
        <v>120</v>
      </c>
      <c r="G176" s="28">
        <v>1081</v>
      </c>
      <c r="H176" s="28">
        <v>41</v>
      </c>
      <c r="I176" s="28">
        <v>15</v>
      </c>
      <c r="J176" s="42">
        <v>5189</v>
      </c>
      <c r="K176" s="28">
        <v>66810.98</v>
      </c>
      <c r="L176" s="17"/>
      <c r="M176" s="267"/>
      <c r="N176" s="17">
        <f t="shared" si="263"/>
        <v>0</v>
      </c>
      <c r="O176" s="17">
        <f t="shared" si="263"/>
        <v>0</v>
      </c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  <c r="AN176" s="17"/>
    </row>
    <row r="177" spans="1:40" x14ac:dyDescent="0.35">
      <c r="A177" s="43" t="s">
        <v>42</v>
      </c>
      <c r="B177" s="1"/>
      <c r="C177" s="1"/>
      <c r="D177" s="1"/>
      <c r="E177" s="28">
        <v>856</v>
      </c>
      <c r="F177" s="28">
        <v>111</v>
      </c>
      <c r="G177" s="28">
        <v>1172</v>
      </c>
      <c r="H177" s="28">
        <v>1182</v>
      </c>
      <c r="I177" s="28">
        <v>1421</v>
      </c>
      <c r="J177" s="42">
        <v>2526</v>
      </c>
      <c r="K177" s="28">
        <v>2870.88</v>
      </c>
      <c r="L177" s="17"/>
      <c r="M177" s="267"/>
      <c r="N177" s="17">
        <f t="shared" si="263"/>
        <v>0</v>
      </c>
      <c r="O177" s="17">
        <f t="shared" si="263"/>
        <v>0</v>
      </c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  <c r="AN177" s="17"/>
    </row>
    <row r="178" spans="1:40" x14ac:dyDescent="0.35">
      <c r="A178" s="43" t="s">
        <v>43</v>
      </c>
      <c r="B178" s="1"/>
      <c r="C178" s="1"/>
      <c r="D178" s="1"/>
      <c r="E178" s="28">
        <v>2006</v>
      </c>
      <c r="F178" s="28">
        <v>39</v>
      </c>
      <c r="G178" s="28">
        <v>2</v>
      </c>
      <c r="H178" s="28">
        <v>40</v>
      </c>
      <c r="I178" s="28">
        <v>0</v>
      </c>
      <c r="J178" s="42">
        <v>0</v>
      </c>
      <c r="K178" s="28">
        <v>0</v>
      </c>
      <c r="L178" s="17"/>
      <c r="M178" s="267"/>
      <c r="N178" s="17">
        <f t="shared" si="263"/>
        <v>0</v>
      </c>
      <c r="O178" s="17">
        <f t="shared" si="263"/>
        <v>0</v>
      </c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</row>
    <row r="179" spans="1:40" x14ac:dyDescent="0.35">
      <c r="A179" s="43" t="s">
        <v>44</v>
      </c>
      <c r="B179" s="1"/>
      <c r="C179" s="1"/>
      <c r="D179" s="1"/>
      <c r="E179" s="28">
        <v>12478</v>
      </c>
      <c r="F179" s="28">
        <v>15521</v>
      </c>
      <c r="G179" s="28">
        <v>14738</v>
      </c>
      <c r="H179" s="28">
        <v>19076</v>
      </c>
      <c r="I179" s="28">
        <v>21638</v>
      </c>
      <c r="J179" s="42">
        <v>24099</v>
      </c>
      <c r="K179" s="28">
        <v>0</v>
      </c>
      <c r="L179" s="17">
        <v>15635</v>
      </c>
      <c r="M179" s="267">
        <v>17976</v>
      </c>
      <c r="N179" s="17">
        <f t="shared" si="263"/>
        <v>18335.52</v>
      </c>
      <c r="O179" s="17">
        <f t="shared" si="263"/>
        <v>18702.2304</v>
      </c>
      <c r="P179" s="17">
        <f t="shared" ref="P179:Q179" si="269">O179*1.02</f>
        <v>19076.275008000001</v>
      </c>
      <c r="Q179" s="17">
        <f t="shared" si="269"/>
        <v>19457.800508160002</v>
      </c>
      <c r="R179" s="17">
        <f>Q179</f>
        <v>19457.800508160002</v>
      </c>
      <c r="S179" s="17">
        <f t="shared" ref="S179:AN179" si="270">R179</f>
        <v>19457.800508160002</v>
      </c>
      <c r="T179" s="17">
        <f t="shared" si="270"/>
        <v>19457.800508160002</v>
      </c>
      <c r="U179" s="17">
        <f t="shared" si="270"/>
        <v>19457.800508160002</v>
      </c>
      <c r="V179" s="17">
        <f t="shared" si="270"/>
        <v>19457.800508160002</v>
      </c>
      <c r="W179" s="17">
        <f t="shared" si="270"/>
        <v>19457.800508160002</v>
      </c>
      <c r="X179" s="17">
        <f t="shared" si="270"/>
        <v>19457.800508160002</v>
      </c>
      <c r="Y179" s="17">
        <f t="shared" si="270"/>
        <v>19457.800508160002</v>
      </c>
      <c r="Z179" s="17">
        <f t="shared" si="270"/>
        <v>19457.800508160002</v>
      </c>
      <c r="AA179" s="17">
        <f t="shared" si="270"/>
        <v>19457.800508160002</v>
      </c>
      <c r="AB179" s="17">
        <f t="shared" si="270"/>
        <v>19457.800508160002</v>
      </c>
      <c r="AC179" s="17">
        <f t="shared" si="270"/>
        <v>19457.800508160002</v>
      </c>
      <c r="AD179" s="17">
        <f t="shared" si="270"/>
        <v>19457.800508160002</v>
      </c>
      <c r="AE179" s="17">
        <f t="shared" si="270"/>
        <v>19457.800508160002</v>
      </c>
      <c r="AF179" s="17">
        <f t="shared" si="270"/>
        <v>19457.800508160002</v>
      </c>
      <c r="AG179" s="17">
        <f t="shared" si="270"/>
        <v>19457.800508160002</v>
      </c>
      <c r="AH179" s="17">
        <f t="shared" si="270"/>
        <v>19457.800508160002</v>
      </c>
      <c r="AI179" s="17">
        <f t="shared" si="270"/>
        <v>19457.800508160002</v>
      </c>
      <c r="AJ179" s="17">
        <f t="shared" si="270"/>
        <v>19457.800508160002</v>
      </c>
      <c r="AK179" s="17">
        <f t="shared" si="270"/>
        <v>19457.800508160002</v>
      </c>
      <c r="AL179" s="17">
        <f t="shared" si="270"/>
        <v>19457.800508160002</v>
      </c>
      <c r="AM179" s="17">
        <f t="shared" si="270"/>
        <v>19457.800508160002</v>
      </c>
      <c r="AN179" s="17">
        <f t="shared" si="270"/>
        <v>19457.800508160002</v>
      </c>
    </row>
    <row r="180" spans="1:40" x14ac:dyDescent="0.35">
      <c r="A180" s="43" t="s">
        <v>45</v>
      </c>
      <c r="B180" s="1"/>
      <c r="C180" s="1"/>
      <c r="D180" s="1"/>
      <c r="E180" s="28">
        <v>209</v>
      </c>
      <c r="F180" s="28">
        <v>8</v>
      </c>
      <c r="G180" s="28">
        <v>37</v>
      </c>
      <c r="H180" s="28">
        <v>7</v>
      </c>
      <c r="I180" s="28">
        <v>240</v>
      </c>
      <c r="J180" s="42">
        <v>1032</v>
      </c>
      <c r="K180" s="28">
        <v>40.93</v>
      </c>
      <c r="L180" s="17"/>
      <c r="M180" s="267"/>
      <c r="N180" s="17">
        <f t="shared" si="263"/>
        <v>0</v>
      </c>
      <c r="O180" s="17">
        <f t="shared" si="263"/>
        <v>0</v>
      </c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  <c r="AL180" s="17"/>
      <c r="AM180" s="17"/>
      <c r="AN180" s="17"/>
    </row>
    <row r="181" spans="1:40" x14ac:dyDescent="0.35">
      <c r="A181" s="43" t="s">
        <v>46</v>
      </c>
      <c r="B181" s="1"/>
      <c r="C181" s="1"/>
      <c r="D181" s="1"/>
      <c r="E181" s="28">
        <v>6198</v>
      </c>
      <c r="F181" s="28">
        <v>2260</v>
      </c>
      <c r="G181" s="28">
        <v>2155</v>
      </c>
      <c r="H181" s="28">
        <v>1040</v>
      </c>
      <c r="I181" s="28">
        <v>1300</v>
      </c>
      <c r="J181" s="42">
        <v>113082</v>
      </c>
      <c r="K181" s="28">
        <v>57822.879999999997</v>
      </c>
      <c r="L181" s="17"/>
      <c r="M181" s="267"/>
      <c r="N181" s="17">
        <f t="shared" si="263"/>
        <v>0</v>
      </c>
      <c r="O181" s="17">
        <f t="shared" si="263"/>
        <v>0</v>
      </c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  <c r="AN181" s="17"/>
    </row>
    <row r="182" spans="1:40" x14ac:dyDescent="0.35">
      <c r="A182" s="43" t="s">
        <v>47</v>
      </c>
      <c r="B182" s="1"/>
      <c r="C182" s="1"/>
      <c r="D182" s="1"/>
      <c r="E182" s="28">
        <v>0</v>
      </c>
      <c r="F182" s="28">
        <v>0</v>
      </c>
      <c r="G182" s="28">
        <v>0</v>
      </c>
      <c r="H182" s="28">
        <v>0</v>
      </c>
      <c r="I182" s="28">
        <v>0</v>
      </c>
      <c r="J182" s="42">
        <v>0</v>
      </c>
      <c r="K182" s="28">
        <v>0</v>
      </c>
      <c r="L182" s="17"/>
      <c r="M182" s="267"/>
      <c r="N182" s="17">
        <f t="shared" si="263"/>
        <v>0</v>
      </c>
      <c r="O182" s="17">
        <f t="shared" si="263"/>
        <v>0</v>
      </c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  <c r="AN182" s="17"/>
    </row>
    <row r="183" spans="1:40" x14ac:dyDescent="0.35">
      <c r="A183" s="43" t="s">
        <v>48</v>
      </c>
      <c r="B183" s="1"/>
      <c r="C183" s="1"/>
      <c r="D183" s="1"/>
      <c r="E183" s="28">
        <v>0</v>
      </c>
      <c r="F183" s="28">
        <v>0</v>
      </c>
      <c r="G183" s="28">
        <v>0</v>
      </c>
      <c r="H183" s="28">
        <v>0</v>
      </c>
      <c r="I183" s="28">
        <v>0</v>
      </c>
      <c r="J183" s="42">
        <v>0</v>
      </c>
      <c r="K183" s="28">
        <v>0</v>
      </c>
      <c r="L183" s="17"/>
      <c r="M183" s="267"/>
      <c r="N183" s="17">
        <f t="shared" si="263"/>
        <v>0</v>
      </c>
      <c r="O183" s="17">
        <f t="shared" si="263"/>
        <v>0</v>
      </c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  <c r="AN183" s="17"/>
    </row>
    <row r="184" spans="1:40" x14ac:dyDescent="0.35">
      <c r="A184" s="44" t="s">
        <v>49</v>
      </c>
      <c r="B184" s="1"/>
      <c r="C184" s="1"/>
      <c r="D184" s="1"/>
      <c r="E184" s="28">
        <v>150864</v>
      </c>
      <c r="F184" s="28">
        <v>457523</v>
      </c>
      <c r="G184" s="28">
        <v>560944</v>
      </c>
      <c r="H184" s="28">
        <v>530651</v>
      </c>
      <c r="I184" s="28">
        <v>440059</v>
      </c>
      <c r="J184" s="42">
        <v>475157</v>
      </c>
      <c r="K184" s="28">
        <v>428809</v>
      </c>
      <c r="L184" s="17">
        <v>723030</v>
      </c>
      <c r="M184" s="267">
        <v>831480</v>
      </c>
      <c r="N184" s="17">
        <f t="shared" si="263"/>
        <v>848109.6</v>
      </c>
      <c r="O184" s="17">
        <f t="shared" si="263"/>
        <v>865071.79200000002</v>
      </c>
      <c r="P184" s="17">
        <f t="shared" ref="P184:Q184" si="271">O184*1.02</f>
        <v>882373.22784000007</v>
      </c>
      <c r="Q184" s="17">
        <f t="shared" si="271"/>
        <v>900020.69239680003</v>
      </c>
      <c r="R184" s="17">
        <f>Q184</f>
        <v>900020.69239680003</v>
      </c>
      <c r="S184" s="17">
        <f t="shared" ref="S184:AN184" si="272">R184</f>
        <v>900020.69239680003</v>
      </c>
      <c r="T184" s="17">
        <f t="shared" si="272"/>
        <v>900020.69239680003</v>
      </c>
      <c r="U184" s="17">
        <f t="shared" si="272"/>
        <v>900020.69239680003</v>
      </c>
      <c r="V184" s="17">
        <f t="shared" si="272"/>
        <v>900020.69239680003</v>
      </c>
      <c r="W184" s="17">
        <f t="shared" si="272"/>
        <v>900020.69239680003</v>
      </c>
      <c r="X184" s="17">
        <f t="shared" si="272"/>
        <v>900020.69239680003</v>
      </c>
      <c r="Y184" s="17">
        <f t="shared" si="272"/>
        <v>900020.69239680003</v>
      </c>
      <c r="Z184" s="17">
        <f t="shared" si="272"/>
        <v>900020.69239680003</v>
      </c>
      <c r="AA184" s="17">
        <f t="shared" si="272"/>
        <v>900020.69239680003</v>
      </c>
      <c r="AB184" s="17">
        <f t="shared" si="272"/>
        <v>900020.69239680003</v>
      </c>
      <c r="AC184" s="17">
        <f t="shared" si="272"/>
        <v>900020.69239680003</v>
      </c>
      <c r="AD184" s="17">
        <f t="shared" si="272"/>
        <v>900020.69239680003</v>
      </c>
      <c r="AE184" s="17">
        <f t="shared" si="272"/>
        <v>900020.69239680003</v>
      </c>
      <c r="AF184" s="17">
        <f t="shared" si="272"/>
        <v>900020.69239680003</v>
      </c>
      <c r="AG184" s="17">
        <f t="shared" si="272"/>
        <v>900020.69239680003</v>
      </c>
      <c r="AH184" s="17">
        <f t="shared" si="272"/>
        <v>900020.69239680003</v>
      </c>
      <c r="AI184" s="17">
        <f t="shared" si="272"/>
        <v>900020.69239680003</v>
      </c>
      <c r="AJ184" s="17">
        <f t="shared" si="272"/>
        <v>900020.69239680003</v>
      </c>
      <c r="AK184" s="17">
        <f t="shared" si="272"/>
        <v>900020.69239680003</v>
      </c>
      <c r="AL184" s="17">
        <f t="shared" si="272"/>
        <v>900020.69239680003</v>
      </c>
      <c r="AM184" s="17">
        <f t="shared" si="272"/>
        <v>900020.69239680003</v>
      </c>
      <c r="AN184" s="17">
        <f t="shared" si="272"/>
        <v>900020.69239680003</v>
      </c>
    </row>
    <row r="185" spans="1:40" ht="15" thickBot="1" x14ac:dyDescent="0.4">
      <c r="A185" s="86"/>
      <c r="B185" s="86"/>
      <c r="C185" s="86"/>
      <c r="D185" s="86"/>
      <c r="E185" s="86"/>
      <c r="F185" s="86"/>
      <c r="G185" s="86"/>
      <c r="H185" s="86"/>
      <c r="I185" s="86"/>
      <c r="J185" s="86"/>
      <c r="K185" s="86"/>
      <c r="L185" s="230"/>
      <c r="M185" s="269"/>
      <c r="N185" s="230"/>
      <c r="O185" s="230"/>
      <c r="P185" s="230"/>
      <c r="Q185" s="230"/>
      <c r="R185" s="230"/>
      <c r="S185" s="230"/>
      <c r="T185" s="230"/>
      <c r="U185" s="230"/>
      <c r="V185" s="230"/>
      <c r="W185" s="230"/>
      <c r="X185" s="230"/>
      <c r="Y185" s="230"/>
      <c r="Z185" s="230"/>
      <c r="AA185" s="230"/>
      <c r="AB185" s="230"/>
      <c r="AC185" s="230"/>
      <c r="AD185" s="230"/>
      <c r="AE185" s="230"/>
      <c r="AF185" s="230"/>
      <c r="AG185" s="230"/>
      <c r="AH185" s="230"/>
      <c r="AI185" s="230"/>
      <c r="AJ185" s="230"/>
      <c r="AK185" s="230"/>
      <c r="AL185" s="230"/>
      <c r="AM185" s="230"/>
      <c r="AN185" s="230"/>
    </row>
    <row r="186" spans="1:40" ht="15" thickTop="1" x14ac:dyDescent="0.35"/>
  </sheetData>
  <mergeCells count="23">
    <mergeCell ref="A172:C172"/>
    <mergeCell ref="A164:B164"/>
    <mergeCell ref="A167:B167"/>
    <mergeCell ref="A42:B42"/>
    <mergeCell ref="A45:B45"/>
    <mergeCell ref="A68:C68"/>
    <mergeCell ref="A129:C129"/>
    <mergeCell ref="A1:C3"/>
    <mergeCell ref="D1:H3"/>
    <mergeCell ref="A161:B161"/>
    <mergeCell ref="A20:C20"/>
    <mergeCell ref="A50:B50"/>
    <mergeCell ref="A126:E126"/>
    <mergeCell ref="A142:D142"/>
    <mergeCell ref="A39:B39"/>
    <mergeCell ref="A4:F4"/>
    <mergeCell ref="A65:F65"/>
    <mergeCell ref="A81:C81"/>
    <mergeCell ref="A100:B100"/>
    <mergeCell ref="A103:B103"/>
    <mergeCell ref="A106:B106"/>
    <mergeCell ref="A111:B111"/>
    <mergeCell ref="A7:C7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1"/>
  <sheetViews>
    <sheetView zoomScale="80" zoomScaleNormal="80" workbookViewId="0">
      <selection activeCell="N27" sqref="N27"/>
    </sheetView>
  </sheetViews>
  <sheetFormatPr defaultRowHeight="14" x14ac:dyDescent="0.3"/>
  <cols>
    <col min="1" max="3" width="8.7265625" style="1"/>
    <col min="4" max="4" width="9.90625" style="1" customWidth="1"/>
    <col min="5" max="5" width="9.6328125" style="1" customWidth="1"/>
    <col min="6" max="6" width="11.26953125" style="1" customWidth="1"/>
    <col min="7" max="7" width="10.7265625" style="1" customWidth="1"/>
    <col min="8" max="8" width="8.7265625" style="1"/>
    <col min="9" max="9" width="11.90625" style="1" customWidth="1"/>
    <col min="10" max="10" width="11.81640625" style="1" customWidth="1"/>
    <col min="11" max="13" width="8.7265625" style="1"/>
    <col min="14" max="14" width="9.7265625" style="1" customWidth="1"/>
    <col min="15" max="15" width="10.26953125" style="1" customWidth="1"/>
    <col min="16" max="25" width="8.7265625" style="1"/>
    <col min="26" max="26" width="10.453125" style="1" customWidth="1"/>
    <col min="27" max="16384" width="8.7265625" style="1"/>
  </cols>
  <sheetData>
    <row r="1" spans="1:15" ht="14" customHeight="1" x14ac:dyDescent="0.3">
      <c r="A1" s="327"/>
      <c r="B1" s="327"/>
      <c r="C1" s="327"/>
      <c r="D1" s="326" t="s">
        <v>72</v>
      </c>
      <c r="E1" s="326"/>
      <c r="F1" s="326"/>
      <c r="G1" s="326"/>
      <c r="H1" s="326"/>
    </row>
    <row r="2" spans="1:15" ht="14" customHeight="1" x14ac:dyDescent="0.3">
      <c r="A2" s="327"/>
      <c r="B2" s="327"/>
      <c r="C2" s="327"/>
      <c r="D2" s="326"/>
      <c r="E2" s="326"/>
      <c r="F2" s="326"/>
      <c r="G2" s="326"/>
      <c r="H2" s="326"/>
    </row>
    <row r="3" spans="1:15" ht="14" customHeight="1" x14ac:dyDescent="0.3">
      <c r="A3" s="327"/>
      <c r="B3" s="327"/>
      <c r="C3" s="327"/>
      <c r="D3" s="326"/>
      <c r="E3" s="326"/>
      <c r="F3" s="326"/>
      <c r="G3" s="326"/>
      <c r="H3" s="326"/>
    </row>
    <row r="4" spans="1:15" ht="10" customHeight="1" x14ac:dyDescent="0.3">
      <c r="A4" s="327"/>
      <c r="B4" s="327"/>
      <c r="C4" s="327"/>
      <c r="D4" s="326"/>
      <c r="E4" s="326"/>
      <c r="F4" s="326"/>
      <c r="G4" s="326"/>
      <c r="H4" s="326"/>
    </row>
    <row r="5" spans="1:15" ht="22" customHeight="1" x14ac:dyDescent="0.3">
      <c r="A5" s="357" t="s">
        <v>138</v>
      </c>
      <c r="B5" s="357"/>
      <c r="C5" s="357"/>
      <c r="D5" s="357"/>
      <c r="E5" s="357"/>
      <c r="F5" s="357"/>
      <c r="G5" s="357"/>
      <c r="H5" s="357"/>
      <c r="I5" s="357"/>
      <c r="J5" s="357"/>
      <c r="K5" s="4"/>
      <c r="L5" s="4"/>
      <c r="M5" s="4"/>
      <c r="N5" s="4"/>
      <c r="O5" s="4"/>
    </row>
    <row r="6" spans="1:15" ht="43.5" customHeight="1" x14ac:dyDescent="0.3">
      <c r="A6" s="360" t="s">
        <v>147</v>
      </c>
      <c r="B6" s="360"/>
      <c r="C6" s="360"/>
      <c r="D6" s="360"/>
      <c r="E6" s="360"/>
      <c r="F6" s="360"/>
      <c r="G6" s="360"/>
      <c r="H6" s="360"/>
      <c r="I6" s="360"/>
      <c r="J6" s="360"/>
    </row>
    <row r="7" spans="1:15" ht="14.5" thickBot="1" x14ac:dyDescent="0.35"/>
    <row r="8" spans="1:15" ht="15" customHeight="1" thickBot="1" x14ac:dyDescent="0.35">
      <c r="A8" s="135"/>
      <c r="B8" s="136"/>
      <c r="C8" s="136"/>
      <c r="D8" s="358" t="s">
        <v>119</v>
      </c>
      <c r="E8" s="359"/>
      <c r="F8" s="153" t="s">
        <v>115</v>
      </c>
      <c r="G8" s="153" t="s">
        <v>116</v>
      </c>
      <c r="H8" s="363" t="s">
        <v>125</v>
      </c>
      <c r="I8" s="364"/>
      <c r="J8" s="365"/>
      <c r="L8" s="157">
        <v>2023</v>
      </c>
      <c r="M8" s="157">
        <v>2024</v>
      </c>
      <c r="N8" s="157">
        <v>2025</v>
      </c>
      <c r="O8" s="158" t="s">
        <v>118</v>
      </c>
    </row>
    <row r="9" spans="1:15" s="155" customFormat="1" ht="15" customHeight="1" thickBot="1" x14ac:dyDescent="0.4">
      <c r="A9" s="361" t="s">
        <v>112</v>
      </c>
      <c r="B9" s="362"/>
      <c r="C9" s="161" t="s">
        <v>113</v>
      </c>
      <c r="D9" s="138" t="s">
        <v>76</v>
      </c>
      <c r="E9" s="138" t="s">
        <v>101</v>
      </c>
      <c r="F9" s="152" t="s">
        <v>117</v>
      </c>
      <c r="G9" s="152" t="s">
        <v>114</v>
      </c>
      <c r="H9" s="213" t="s">
        <v>102</v>
      </c>
      <c r="I9" s="139"/>
      <c r="J9" s="140"/>
    </row>
    <row r="10" spans="1:15" x14ac:dyDescent="0.3">
      <c r="A10" s="141" t="s">
        <v>103</v>
      </c>
      <c r="B10" s="142"/>
      <c r="C10" s="142">
        <v>1</v>
      </c>
      <c r="D10" s="143">
        <v>1000000</v>
      </c>
      <c r="E10" s="143">
        <f>D10*1.2</f>
        <v>1200000</v>
      </c>
      <c r="F10" s="143">
        <f t="shared" ref="F10:G12" si="0">E10</f>
        <v>1200000</v>
      </c>
      <c r="G10" s="143">
        <f t="shared" si="0"/>
        <v>1200000</v>
      </c>
      <c r="H10" s="214">
        <f>E10/40</f>
        <v>30000</v>
      </c>
      <c r="I10" s="144"/>
      <c r="J10" s="145" t="s">
        <v>104</v>
      </c>
      <c r="L10" s="20">
        <v>0</v>
      </c>
      <c r="M10" s="20">
        <v>0</v>
      </c>
      <c r="N10" s="20">
        <v>0</v>
      </c>
      <c r="O10" s="156">
        <f>H10</f>
        <v>30000</v>
      </c>
    </row>
    <row r="11" spans="1:15" x14ac:dyDescent="0.3">
      <c r="A11" s="141" t="s">
        <v>105</v>
      </c>
      <c r="B11" s="142"/>
      <c r="C11" s="142">
        <v>1</v>
      </c>
      <c r="D11" s="143">
        <v>7500000</v>
      </c>
      <c r="E11" s="143">
        <f>D11*1.2</f>
        <v>9000000</v>
      </c>
      <c r="F11" s="143">
        <f t="shared" si="0"/>
        <v>9000000</v>
      </c>
      <c r="G11" s="143">
        <f t="shared" si="0"/>
        <v>9000000</v>
      </c>
      <c r="H11" s="214">
        <f>E11/40</f>
        <v>225000</v>
      </c>
      <c r="I11" s="144"/>
      <c r="J11" s="145" t="s">
        <v>106</v>
      </c>
      <c r="L11" s="20">
        <v>0</v>
      </c>
      <c r="M11" s="156">
        <f>H11</f>
        <v>225000</v>
      </c>
      <c r="N11" s="156">
        <f>H11</f>
        <v>225000</v>
      </c>
      <c r="O11" s="156">
        <f>H11</f>
        <v>225000</v>
      </c>
    </row>
    <row r="12" spans="1:15" x14ac:dyDescent="0.3">
      <c r="A12" s="141" t="s">
        <v>107</v>
      </c>
      <c r="B12" s="142"/>
      <c r="C12" s="142">
        <v>1</v>
      </c>
      <c r="D12" s="143">
        <v>1600000</v>
      </c>
      <c r="E12" s="143">
        <f>D12*1.2</f>
        <v>1920000</v>
      </c>
      <c r="F12" s="143">
        <f t="shared" si="0"/>
        <v>1920000</v>
      </c>
      <c r="G12" s="143">
        <f t="shared" si="0"/>
        <v>1920000</v>
      </c>
      <c r="H12" s="214">
        <f>E12/40</f>
        <v>48000</v>
      </c>
      <c r="I12" s="144"/>
      <c r="J12" s="145" t="s">
        <v>104</v>
      </c>
      <c r="L12" s="20">
        <v>0</v>
      </c>
      <c r="M12" s="20">
        <v>0</v>
      </c>
      <c r="N12" s="156">
        <v>0</v>
      </c>
      <c r="O12" s="156">
        <f>H12</f>
        <v>48000</v>
      </c>
    </row>
    <row r="13" spans="1:15" ht="14.5" thickBot="1" x14ac:dyDescent="0.35">
      <c r="A13" s="146" t="s">
        <v>108</v>
      </c>
      <c r="B13" s="147"/>
      <c r="C13" s="147">
        <v>48</v>
      </c>
      <c r="D13" s="148">
        <v>40000</v>
      </c>
      <c r="E13" s="148">
        <f>D13*1.2</f>
        <v>48000</v>
      </c>
      <c r="F13" s="148">
        <f>C13*E13</f>
        <v>2304000</v>
      </c>
      <c r="G13" s="148">
        <f>F13/C13*12</f>
        <v>576000</v>
      </c>
      <c r="H13" s="215">
        <f>G13/40</f>
        <v>14400</v>
      </c>
      <c r="I13" s="142"/>
      <c r="J13" s="149"/>
      <c r="L13" s="159">
        <f>H14</f>
        <v>14400</v>
      </c>
      <c r="M13" s="160">
        <f>H14*2</f>
        <v>28800</v>
      </c>
      <c r="N13" s="160">
        <f>H14*3</f>
        <v>43200</v>
      </c>
      <c r="O13" s="160">
        <f>H14*4</f>
        <v>57600</v>
      </c>
    </row>
    <row r="14" spans="1:15" ht="14.5" thickTop="1" x14ac:dyDescent="0.3">
      <c r="A14" s="141"/>
      <c r="B14" s="142"/>
      <c r="C14" s="142"/>
      <c r="D14" s="142"/>
      <c r="E14" s="142"/>
      <c r="F14" s="142"/>
      <c r="G14" s="142"/>
      <c r="H14" s="162">
        <f>H13</f>
        <v>14400</v>
      </c>
      <c r="I14" s="142" t="s">
        <v>109</v>
      </c>
      <c r="J14" s="145" t="s">
        <v>110</v>
      </c>
      <c r="L14" s="186">
        <f>SUM(L10:L13)</f>
        <v>14400</v>
      </c>
      <c r="M14" s="186">
        <f t="shared" ref="M14:O14" si="1">SUM(M10:M13)</f>
        <v>253800</v>
      </c>
      <c r="N14" s="186">
        <f t="shared" si="1"/>
        <v>268200</v>
      </c>
      <c r="O14" s="186">
        <f t="shared" si="1"/>
        <v>360600</v>
      </c>
    </row>
    <row r="15" spans="1:15" x14ac:dyDescent="0.3">
      <c r="A15" s="141"/>
      <c r="B15" s="142"/>
      <c r="C15" s="142"/>
      <c r="D15" s="142"/>
      <c r="E15" s="142"/>
      <c r="F15" s="142"/>
      <c r="G15" s="142"/>
      <c r="H15" s="142"/>
      <c r="I15" s="142"/>
      <c r="J15" s="149"/>
    </row>
    <row r="16" spans="1:15" ht="14.5" thickBot="1" x14ac:dyDescent="0.35">
      <c r="A16" s="150"/>
      <c r="B16" s="151"/>
      <c r="C16" s="151"/>
      <c r="D16" s="151"/>
      <c r="E16" s="216" t="s">
        <v>111</v>
      </c>
      <c r="F16" s="216"/>
      <c r="G16" s="216"/>
      <c r="H16" s="217">
        <f>H10+H11+H12+(H13*4)</f>
        <v>360600</v>
      </c>
      <c r="I16" s="218" t="s">
        <v>104</v>
      </c>
      <c r="J16" s="219"/>
    </row>
    <row r="18" spans="1:26" x14ac:dyDescent="0.3">
      <c r="A18" s="325" t="s">
        <v>120</v>
      </c>
      <c r="B18" s="325"/>
      <c r="C18" s="325"/>
      <c r="D18" s="325"/>
      <c r="E18" s="325"/>
      <c r="F18" s="325"/>
      <c r="G18" s="325"/>
      <c r="H18" s="325"/>
      <c r="I18" s="325"/>
      <c r="J18" s="325"/>
    </row>
    <row r="21" spans="1:26" ht="20.5" customHeight="1" x14ac:dyDescent="0.3">
      <c r="A21" s="357" t="s">
        <v>143</v>
      </c>
      <c r="B21" s="357"/>
      <c r="C21" s="357"/>
      <c r="D21" s="357"/>
      <c r="E21" s="357"/>
      <c r="F21" s="357"/>
      <c r="G21" s="357"/>
      <c r="H21" s="357"/>
      <c r="I21" s="357"/>
      <c r="J21" s="357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x14ac:dyDescent="0.3">
      <c r="A22" s="325" t="s">
        <v>121</v>
      </c>
      <c r="B22" s="325"/>
      <c r="C22" s="325"/>
    </row>
    <row r="23" spans="1:26" ht="14.5" thickBot="1" x14ac:dyDescent="0.35">
      <c r="A23" s="89"/>
      <c r="B23" s="89"/>
      <c r="H23" s="134"/>
      <c r="I23" s="134"/>
      <c r="J23" s="134"/>
    </row>
    <row r="24" spans="1:26" ht="15" customHeight="1" x14ac:dyDescent="0.3">
      <c r="A24" s="135"/>
      <c r="B24" s="136"/>
      <c r="C24" s="136"/>
      <c r="D24" s="358" t="s">
        <v>124</v>
      </c>
      <c r="E24" s="359"/>
      <c r="F24" s="366" t="s">
        <v>126</v>
      </c>
      <c r="G24" s="367"/>
      <c r="H24" s="223"/>
      <c r="I24" s="180"/>
      <c r="J24" s="137"/>
      <c r="K24" s="48"/>
      <c r="L24" s="157">
        <v>2023</v>
      </c>
      <c r="M24" s="157">
        <v>2024</v>
      </c>
      <c r="N24" s="157">
        <v>2025</v>
      </c>
      <c r="O24" s="158">
        <v>2026</v>
      </c>
      <c r="P24" s="182">
        <v>2027</v>
      </c>
      <c r="Q24" s="182">
        <v>2028</v>
      </c>
      <c r="R24" s="182">
        <v>2029</v>
      </c>
      <c r="S24" s="158">
        <v>2030</v>
      </c>
      <c r="T24" s="158">
        <v>2031</v>
      </c>
      <c r="U24" s="158">
        <v>2032</v>
      </c>
      <c r="V24" s="158">
        <v>2033</v>
      </c>
      <c r="W24" s="158">
        <v>2034</v>
      </c>
      <c r="X24" s="158">
        <v>2035</v>
      </c>
      <c r="Y24" s="158">
        <v>2036</v>
      </c>
      <c r="Z24" s="158" t="s">
        <v>134</v>
      </c>
    </row>
    <row r="25" spans="1:26" x14ac:dyDescent="0.3">
      <c r="A25" s="354" t="s">
        <v>112</v>
      </c>
      <c r="B25" s="355"/>
      <c r="C25" s="356"/>
      <c r="D25" s="169" t="s">
        <v>76</v>
      </c>
      <c r="E25" s="169" t="s">
        <v>101</v>
      </c>
      <c r="F25" s="220" t="s">
        <v>127</v>
      </c>
      <c r="G25" s="220" t="s">
        <v>128</v>
      </c>
      <c r="H25" s="222" t="s">
        <v>129</v>
      </c>
      <c r="I25" s="163"/>
      <c r="J25" s="140"/>
      <c r="K25" s="48"/>
      <c r="L25" s="179"/>
      <c r="M25" s="48"/>
      <c r="N25" s="48"/>
      <c r="O25" s="48"/>
      <c r="P25" s="178"/>
      <c r="Q25" s="178"/>
      <c r="R25" s="178"/>
      <c r="S25" s="17"/>
    </row>
    <row r="26" spans="1:26" x14ac:dyDescent="0.3">
      <c r="A26" s="167" t="s">
        <v>131</v>
      </c>
      <c r="B26" s="168"/>
      <c r="C26" s="161"/>
      <c r="D26" s="138"/>
      <c r="E26" s="138"/>
      <c r="F26" s="221"/>
      <c r="G26" s="221"/>
      <c r="H26" s="170"/>
      <c r="I26" s="163"/>
      <c r="J26" s="140"/>
      <c r="K26" s="48"/>
      <c r="L26" s="48"/>
      <c r="M26" s="48"/>
      <c r="N26" s="48"/>
      <c r="O26" s="48"/>
      <c r="P26" s="178"/>
      <c r="Q26" s="178"/>
      <c r="R26" s="178"/>
      <c r="S26" s="17"/>
    </row>
    <row r="27" spans="1:26" x14ac:dyDescent="0.3">
      <c r="A27" s="141" t="s">
        <v>100</v>
      </c>
      <c r="B27" s="142"/>
      <c r="C27" s="142"/>
      <c r="D27" s="181">
        <v>21796043.329999998</v>
      </c>
      <c r="E27" s="181">
        <f>D27*1.2</f>
        <v>26155251.995999996</v>
      </c>
      <c r="F27" s="143">
        <v>40</v>
      </c>
      <c r="G27" s="224">
        <f>E27/F27</f>
        <v>653881.29989999987</v>
      </c>
      <c r="H27" s="171" t="s">
        <v>130</v>
      </c>
      <c r="I27" s="164"/>
      <c r="J27" s="145"/>
      <c r="K27" s="48"/>
      <c r="L27" s="166">
        <v>0</v>
      </c>
      <c r="M27" s="166">
        <v>0</v>
      </c>
      <c r="N27" s="162">
        <f>G27/2</f>
        <v>326940.64994999993</v>
      </c>
      <c r="O27" s="162">
        <f t="shared" ref="O27:Z27" si="2">$G$27</f>
        <v>653881.29989999987</v>
      </c>
      <c r="P27" s="162">
        <f t="shared" si="2"/>
        <v>653881.29989999987</v>
      </c>
      <c r="Q27" s="162">
        <f t="shared" si="2"/>
        <v>653881.29989999987</v>
      </c>
      <c r="R27" s="162">
        <f t="shared" si="2"/>
        <v>653881.29989999987</v>
      </c>
      <c r="S27" s="162">
        <f t="shared" si="2"/>
        <v>653881.29989999987</v>
      </c>
      <c r="T27" s="162">
        <f t="shared" si="2"/>
        <v>653881.29989999987</v>
      </c>
      <c r="U27" s="162">
        <f t="shared" si="2"/>
        <v>653881.29989999987</v>
      </c>
      <c r="V27" s="162">
        <f t="shared" si="2"/>
        <v>653881.29989999987</v>
      </c>
      <c r="W27" s="162">
        <f t="shared" si="2"/>
        <v>653881.29989999987</v>
      </c>
      <c r="X27" s="162">
        <f t="shared" si="2"/>
        <v>653881.29989999987</v>
      </c>
      <c r="Y27" s="162">
        <f t="shared" si="2"/>
        <v>653881.29989999987</v>
      </c>
      <c r="Z27" s="162">
        <f t="shared" si="2"/>
        <v>653881.29989999987</v>
      </c>
    </row>
    <row r="28" spans="1:26" x14ac:dyDescent="0.3">
      <c r="A28" s="141" t="s">
        <v>122</v>
      </c>
      <c r="B28" s="142"/>
      <c r="C28" s="142"/>
      <c r="D28" s="181">
        <v>3000000</v>
      </c>
      <c r="E28" s="181">
        <f>D28*1.2</f>
        <v>3600000</v>
      </c>
      <c r="F28" s="143">
        <v>8</v>
      </c>
      <c r="G28" s="224">
        <f>E28/F28</f>
        <v>450000</v>
      </c>
      <c r="H28" s="171" t="s">
        <v>130</v>
      </c>
      <c r="I28" s="164"/>
      <c r="J28" s="145"/>
      <c r="K28" s="48"/>
      <c r="L28" s="166">
        <v>0</v>
      </c>
      <c r="M28" s="166">
        <v>0</v>
      </c>
      <c r="N28" s="162">
        <f>G28/2</f>
        <v>225000</v>
      </c>
      <c r="O28" s="162">
        <f t="shared" ref="O28:U28" si="3">$G$28</f>
        <v>450000</v>
      </c>
      <c r="P28" s="162">
        <f t="shared" si="3"/>
        <v>450000</v>
      </c>
      <c r="Q28" s="162">
        <f t="shared" si="3"/>
        <v>450000</v>
      </c>
      <c r="R28" s="162">
        <f t="shared" si="3"/>
        <v>450000</v>
      </c>
      <c r="S28" s="162">
        <f t="shared" si="3"/>
        <v>450000</v>
      </c>
      <c r="T28" s="162">
        <f t="shared" si="3"/>
        <v>450000</v>
      </c>
      <c r="U28" s="162">
        <f t="shared" si="3"/>
        <v>450000</v>
      </c>
      <c r="V28" s="162">
        <f>N28</f>
        <v>225000</v>
      </c>
      <c r="W28" s="162">
        <v>0</v>
      </c>
      <c r="X28" s="20">
        <v>0</v>
      </c>
      <c r="Y28" s="20">
        <v>0</v>
      </c>
      <c r="Z28" s="20">
        <v>0</v>
      </c>
    </row>
    <row r="29" spans="1:26" x14ac:dyDescent="0.3">
      <c r="A29" s="141" t="s">
        <v>123</v>
      </c>
      <c r="B29" s="142"/>
      <c r="C29" s="142"/>
      <c r="D29" s="181">
        <v>750000</v>
      </c>
      <c r="E29" s="181">
        <f>D29*1.2</f>
        <v>900000</v>
      </c>
      <c r="F29" s="143">
        <v>10</v>
      </c>
      <c r="G29" s="224">
        <f>E29/F29</f>
        <v>90000</v>
      </c>
      <c r="H29" s="171" t="s">
        <v>130</v>
      </c>
      <c r="I29" s="164"/>
      <c r="J29" s="145"/>
      <c r="K29" s="48"/>
      <c r="L29" s="166">
        <v>0</v>
      </c>
      <c r="M29" s="166">
        <v>0</v>
      </c>
      <c r="N29" s="162">
        <f>G29/2</f>
        <v>45000</v>
      </c>
      <c r="O29" s="162">
        <f t="shared" ref="O29:W29" si="4">$G$29</f>
        <v>90000</v>
      </c>
      <c r="P29" s="162">
        <f t="shared" si="4"/>
        <v>90000</v>
      </c>
      <c r="Q29" s="162">
        <f t="shared" si="4"/>
        <v>90000</v>
      </c>
      <c r="R29" s="162">
        <f t="shared" si="4"/>
        <v>90000</v>
      </c>
      <c r="S29" s="162">
        <f t="shared" si="4"/>
        <v>90000</v>
      </c>
      <c r="T29" s="162">
        <f t="shared" si="4"/>
        <v>90000</v>
      </c>
      <c r="U29" s="162">
        <f t="shared" si="4"/>
        <v>90000</v>
      </c>
      <c r="V29" s="162">
        <f t="shared" si="4"/>
        <v>90000</v>
      </c>
      <c r="W29" s="162">
        <f t="shared" si="4"/>
        <v>90000</v>
      </c>
      <c r="X29" s="156">
        <f>N29</f>
        <v>45000</v>
      </c>
      <c r="Y29" s="20">
        <v>0</v>
      </c>
      <c r="Z29" s="20">
        <v>0</v>
      </c>
    </row>
    <row r="30" spans="1:26" x14ac:dyDescent="0.3">
      <c r="A30" s="146"/>
      <c r="B30" s="147"/>
      <c r="C30" s="147"/>
      <c r="D30" s="148"/>
      <c r="E30" s="148"/>
      <c r="F30" s="148"/>
      <c r="G30" s="225"/>
      <c r="H30" s="165"/>
      <c r="I30" s="166"/>
      <c r="J30" s="149"/>
      <c r="K30" s="48"/>
      <c r="L30" s="166"/>
      <c r="M30" s="166"/>
      <c r="N30" s="162"/>
      <c r="O30" s="162"/>
      <c r="P30" s="50"/>
      <c r="Q30" s="50"/>
    </row>
    <row r="31" spans="1:26" x14ac:dyDescent="0.3">
      <c r="A31" s="167" t="s">
        <v>132</v>
      </c>
      <c r="B31" s="168"/>
      <c r="C31" s="161"/>
      <c r="D31" s="138"/>
      <c r="E31" s="138"/>
      <c r="F31" s="221"/>
      <c r="G31" s="221"/>
      <c r="H31" s="162"/>
      <c r="I31" s="142"/>
      <c r="J31" s="145"/>
      <c r="K31" s="48"/>
      <c r="L31" s="166"/>
      <c r="M31" s="166"/>
      <c r="N31" s="162"/>
      <c r="O31" s="162"/>
      <c r="P31" s="50"/>
      <c r="Q31" s="50"/>
    </row>
    <row r="32" spans="1:26" x14ac:dyDescent="0.3">
      <c r="A32" s="141" t="s">
        <v>100</v>
      </c>
      <c r="B32" s="172"/>
      <c r="C32" s="173"/>
      <c r="D32" s="181">
        <v>20466576.879999999</v>
      </c>
      <c r="E32" s="181">
        <f>D32*1.2</f>
        <v>24559892.255999997</v>
      </c>
      <c r="F32" s="143">
        <v>40</v>
      </c>
      <c r="G32" s="224">
        <f>E32/F32</f>
        <v>613997.30639999988</v>
      </c>
      <c r="H32" s="171" t="s">
        <v>133</v>
      </c>
      <c r="I32" s="142"/>
      <c r="J32" s="145"/>
      <c r="K32" s="48"/>
      <c r="L32" s="166">
        <v>0</v>
      </c>
      <c r="M32" s="166">
        <v>0</v>
      </c>
      <c r="N32" s="166">
        <v>0</v>
      </c>
      <c r="O32" s="166">
        <v>0</v>
      </c>
      <c r="P32" s="162">
        <f t="shared" ref="P32:Z32" si="5">$G$32</f>
        <v>613997.30639999988</v>
      </c>
      <c r="Q32" s="162">
        <f t="shared" si="5"/>
        <v>613997.30639999988</v>
      </c>
      <c r="R32" s="162">
        <f t="shared" si="5"/>
        <v>613997.30639999988</v>
      </c>
      <c r="S32" s="162">
        <f t="shared" si="5"/>
        <v>613997.30639999988</v>
      </c>
      <c r="T32" s="162">
        <f t="shared" si="5"/>
        <v>613997.30639999988</v>
      </c>
      <c r="U32" s="162">
        <f t="shared" si="5"/>
        <v>613997.30639999988</v>
      </c>
      <c r="V32" s="162">
        <f t="shared" si="5"/>
        <v>613997.30639999988</v>
      </c>
      <c r="W32" s="162">
        <f t="shared" si="5"/>
        <v>613997.30639999988</v>
      </c>
      <c r="X32" s="162">
        <f t="shared" si="5"/>
        <v>613997.30639999988</v>
      </c>
      <c r="Y32" s="162">
        <f t="shared" si="5"/>
        <v>613997.30639999988</v>
      </c>
      <c r="Z32" s="162">
        <f t="shared" si="5"/>
        <v>613997.30639999988</v>
      </c>
    </row>
    <row r="33" spans="1:26" x14ac:dyDescent="0.3">
      <c r="A33" s="141" t="s">
        <v>122</v>
      </c>
      <c r="B33" s="172"/>
      <c r="C33" s="173"/>
      <c r="D33" s="181">
        <v>3000000</v>
      </c>
      <c r="E33" s="181">
        <f>D33*1.2</f>
        <v>3600000</v>
      </c>
      <c r="F33" s="143">
        <v>8</v>
      </c>
      <c r="G33" s="224">
        <f>E33/F33</f>
        <v>450000</v>
      </c>
      <c r="H33" s="171" t="s">
        <v>133</v>
      </c>
      <c r="I33" s="142"/>
      <c r="J33" s="145"/>
      <c r="K33" s="48"/>
      <c r="L33" s="166">
        <v>0</v>
      </c>
      <c r="M33" s="166">
        <v>0</v>
      </c>
      <c r="N33" s="166">
        <v>0</v>
      </c>
      <c r="O33" s="166">
        <v>0</v>
      </c>
      <c r="P33" s="162">
        <f t="shared" ref="P33:W33" si="6">$G$33</f>
        <v>450000</v>
      </c>
      <c r="Q33" s="162">
        <f t="shared" si="6"/>
        <v>450000</v>
      </c>
      <c r="R33" s="162">
        <f t="shared" si="6"/>
        <v>450000</v>
      </c>
      <c r="S33" s="162">
        <f t="shared" si="6"/>
        <v>450000</v>
      </c>
      <c r="T33" s="162">
        <f t="shared" si="6"/>
        <v>450000</v>
      </c>
      <c r="U33" s="162">
        <f t="shared" si="6"/>
        <v>450000</v>
      </c>
      <c r="V33" s="162">
        <f t="shared" si="6"/>
        <v>450000</v>
      </c>
      <c r="W33" s="162">
        <f t="shared" si="6"/>
        <v>450000</v>
      </c>
      <c r="X33" s="20">
        <v>0</v>
      </c>
      <c r="Y33" s="20">
        <v>0</v>
      </c>
      <c r="Z33" s="20">
        <v>0</v>
      </c>
    </row>
    <row r="34" spans="1:26" ht="14.5" thickBot="1" x14ac:dyDescent="0.35">
      <c r="A34" s="141" t="s">
        <v>123</v>
      </c>
      <c r="B34" s="142"/>
      <c r="C34" s="142"/>
      <c r="D34" s="181">
        <v>750000</v>
      </c>
      <c r="E34" s="181">
        <f>D34*1.2</f>
        <v>900000</v>
      </c>
      <c r="F34" s="143">
        <v>10</v>
      </c>
      <c r="G34" s="224">
        <f>E34/F34</f>
        <v>90000</v>
      </c>
      <c r="H34" s="171" t="s">
        <v>133</v>
      </c>
      <c r="I34" s="142"/>
      <c r="J34" s="149"/>
      <c r="K34" s="48"/>
      <c r="L34" s="184">
        <v>0</v>
      </c>
      <c r="M34" s="184">
        <v>0</v>
      </c>
      <c r="N34" s="184">
        <v>0</v>
      </c>
      <c r="O34" s="184">
        <v>0</v>
      </c>
      <c r="P34" s="185">
        <f t="shared" ref="P34:Y34" si="7">$G$34</f>
        <v>90000</v>
      </c>
      <c r="Q34" s="185">
        <f t="shared" si="7"/>
        <v>90000</v>
      </c>
      <c r="R34" s="185">
        <f t="shared" si="7"/>
        <v>90000</v>
      </c>
      <c r="S34" s="185">
        <f t="shared" si="7"/>
        <v>90000</v>
      </c>
      <c r="T34" s="185">
        <f t="shared" si="7"/>
        <v>90000</v>
      </c>
      <c r="U34" s="185">
        <f t="shared" si="7"/>
        <v>90000</v>
      </c>
      <c r="V34" s="185">
        <f t="shared" si="7"/>
        <v>90000</v>
      </c>
      <c r="W34" s="185">
        <f t="shared" si="7"/>
        <v>90000</v>
      </c>
      <c r="X34" s="185">
        <f t="shared" si="7"/>
        <v>90000</v>
      </c>
      <c r="Y34" s="185">
        <f t="shared" si="7"/>
        <v>90000</v>
      </c>
      <c r="Z34" s="160">
        <v>0</v>
      </c>
    </row>
    <row r="35" spans="1:26" ht="15" thickTop="1" thickBot="1" x14ac:dyDescent="0.35">
      <c r="A35" s="150"/>
      <c r="B35" s="151"/>
      <c r="C35" s="151"/>
      <c r="D35" s="151"/>
      <c r="E35" s="174"/>
      <c r="F35" s="174"/>
      <c r="G35" s="174"/>
      <c r="H35" s="175"/>
      <c r="I35" s="176"/>
      <c r="J35" s="177"/>
      <c r="K35" s="48"/>
      <c r="L35" s="187">
        <f>SUM(L27:L34)</f>
        <v>0</v>
      </c>
      <c r="M35" s="183">
        <f t="shared" ref="M35:Z35" si="8">SUM(M27:M34)</f>
        <v>0</v>
      </c>
      <c r="N35" s="183">
        <f t="shared" si="8"/>
        <v>596940.64994999999</v>
      </c>
      <c r="O35" s="183">
        <f t="shared" si="8"/>
        <v>1193881.2999</v>
      </c>
      <c r="P35" s="183">
        <f t="shared" si="8"/>
        <v>2347878.6063000001</v>
      </c>
      <c r="Q35" s="183">
        <f t="shared" si="8"/>
        <v>2347878.6063000001</v>
      </c>
      <c r="R35" s="183">
        <f t="shared" si="8"/>
        <v>2347878.6063000001</v>
      </c>
      <c r="S35" s="183">
        <f t="shared" si="8"/>
        <v>2347878.6063000001</v>
      </c>
      <c r="T35" s="183">
        <f t="shared" si="8"/>
        <v>2347878.6063000001</v>
      </c>
      <c r="U35" s="183">
        <f t="shared" si="8"/>
        <v>2347878.6063000001</v>
      </c>
      <c r="V35" s="183">
        <f t="shared" si="8"/>
        <v>2122878.6062999996</v>
      </c>
      <c r="W35" s="183">
        <f t="shared" si="8"/>
        <v>1897878.6062999996</v>
      </c>
      <c r="X35" s="183">
        <f t="shared" si="8"/>
        <v>1402878.6062999996</v>
      </c>
      <c r="Y35" s="183">
        <f t="shared" si="8"/>
        <v>1357878.6062999996</v>
      </c>
      <c r="Z35" s="183">
        <f t="shared" si="8"/>
        <v>1267878.6062999996</v>
      </c>
    </row>
    <row r="36" spans="1:26" x14ac:dyDescent="0.3">
      <c r="K36" s="48"/>
      <c r="L36" s="48"/>
      <c r="M36" s="48"/>
      <c r="N36" s="48"/>
      <c r="O36" s="48"/>
      <c r="P36" s="48"/>
      <c r="Q36" s="48"/>
      <c r="R36" s="48"/>
      <c r="S36" s="48"/>
      <c r="T36" s="48"/>
    </row>
    <row r="37" spans="1:26" x14ac:dyDescent="0.3">
      <c r="K37" s="48"/>
      <c r="L37" s="48"/>
      <c r="M37" s="48"/>
      <c r="N37" s="50"/>
      <c r="O37" s="50"/>
      <c r="P37" s="50"/>
      <c r="Q37" s="50"/>
      <c r="R37" s="48"/>
      <c r="S37" s="48"/>
      <c r="T37" s="48"/>
    </row>
    <row r="38" spans="1:26" x14ac:dyDescent="0.3">
      <c r="K38" s="48"/>
      <c r="L38" s="48"/>
      <c r="M38" s="48"/>
      <c r="N38" s="50"/>
      <c r="O38" s="50"/>
      <c r="P38" s="50"/>
      <c r="Q38" s="50"/>
      <c r="R38" s="48"/>
      <c r="S38" s="48"/>
      <c r="T38" s="48"/>
    </row>
    <row r="39" spans="1:26" x14ac:dyDescent="0.3">
      <c r="K39" s="48"/>
      <c r="L39" s="48"/>
      <c r="M39" s="48"/>
      <c r="N39" s="50"/>
      <c r="O39" s="50"/>
      <c r="P39" s="50"/>
      <c r="Q39" s="50"/>
      <c r="R39" s="48"/>
      <c r="S39" s="48"/>
      <c r="T39" s="48"/>
    </row>
    <row r="40" spans="1:26" x14ac:dyDescent="0.3">
      <c r="K40" s="48"/>
      <c r="L40" s="48"/>
      <c r="M40" s="48"/>
      <c r="N40" s="48"/>
      <c r="O40" s="48"/>
      <c r="P40" s="50"/>
      <c r="Q40" s="48"/>
      <c r="R40" s="48"/>
      <c r="S40" s="48"/>
      <c r="T40" s="48"/>
    </row>
    <row r="41" spans="1:26" x14ac:dyDescent="0.3">
      <c r="K41" s="48"/>
      <c r="L41" s="48"/>
      <c r="M41" s="48"/>
      <c r="N41" s="48"/>
      <c r="O41" s="48"/>
      <c r="P41" s="48"/>
      <c r="Q41" s="48"/>
      <c r="R41" s="48"/>
      <c r="S41" s="48"/>
      <c r="T41" s="48"/>
    </row>
  </sheetData>
  <mergeCells count="13">
    <mergeCell ref="A25:C25"/>
    <mergeCell ref="A22:C22"/>
    <mergeCell ref="A21:J21"/>
    <mergeCell ref="D1:H4"/>
    <mergeCell ref="A1:C4"/>
    <mergeCell ref="A18:J18"/>
    <mergeCell ref="D24:E24"/>
    <mergeCell ref="A5:J5"/>
    <mergeCell ref="A6:J6"/>
    <mergeCell ref="A9:B9"/>
    <mergeCell ref="D8:E8"/>
    <mergeCell ref="H8:J8"/>
    <mergeCell ref="F24:G2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12" sqref="K12"/>
    </sheetView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9</vt:i4>
      </vt:variant>
    </vt:vector>
  </HeadingPairs>
  <TitlesOfParts>
    <vt:vector size="9" baseType="lpstr">
      <vt:lpstr>Krycí list</vt:lpstr>
      <vt:lpstr>Sumár</vt:lpstr>
      <vt:lpstr>Status quo</vt:lpstr>
      <vt:lpstr>Base Case</vt:lpstr>
      <vt:lpstr>Rekonštrukcia</vt:lpstr>
      <vt:lpstr>CF, NPV, IRR</vt:lpstr>
      <vt:lpstr>Výpočty-náklady</vt:lpstr>
      <vt:lpstr>Výpočty-odpisy</vt:lpstr>
      <vt:lpstr>Koniec</vt:lpstr>
    </vt:vector>
  </TitlesOfParts>
  <Company>FLAW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dufalova</dc:creator>
  <cp:lastModifiedBy>dufalova</cp:lastModifiedBy>
  <cp:lastPrinted>2022-12-16T07:22:20Z</cp:lastPrinted>
  <dcterms:created xsi:type="dcterms:W3CDTF">2022-12-08T10:45:43Z</dcterms:created>
  <dcterms:modified xsi:type="dcterms:W3CDTF">2023-03-02T18:27:26Z</dcterms:modified>
</cp:coreProperties>
</file>